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kumenti\PRAKTIKUM\2023\zadaci_za_studente\"/>
    </mc:Choice>
  </mc:AlternateContent>
  <bookViews>
    <workbookView xWindow="118" yWindow="236" windowWidth="12122" windowHeight="8941"/>
  </bookViews>
  <sheets>
    <sheet name="F-AbsVal-BaseVal" sheetId="4" r:id="rId1"/>
    <sheet name="Inclination" sheetId="3" r:id="rId2"/>
    <sheet name="Varation" sheetId="5" r:id="rId3"/>
    <sheet name="Declination" sheetId="1" r:id="rId4"/>
  </sheets>
  <definedNames>
    <definedName name="_010628F" localSheetId="2">Varation!$A$2:$E$4</definedName>
    <definedName name="_010628F_1" localSheetId="2">Varation!$A$2:$E$16</definedName>
    <definedName name="_010628F_2" localSheetId="2">Varation!$H$9:$L$15</definedName>
    <definedName name="_010628F_3" localSheetId="2">Varation!$A$2:$E$16</definedName>
    <definedName name="_010628F_4" localSheetId="2">Varation!$A$2:$E$16</definedName>
    <definedName name="_010628F_5" localSheetId="2">Varation!$A$2:$F$16</definedName>
    <definedName name="_010628F_6" localSheetId="2">Varation!$A$27:$F$41</definedName>
    <definedName name="_010628F_7" localSheetId="2">Varation!$A$27:$F$41</definedName>
    <definedName name="_010628F_8" localSheetId="2">Varation!$A$45:$F$59</definedName>
    <definedName name="_010628F_9" localSheetId="2">Varation!$A$45:$F$59</definedName>
    <definedName name="_010628G" localSheetId="2">Varation!$H$2:$J$29</definedName>
    <definedName name="T020102M" localSheetId="2">Varation!$A$19:$C$30</definedName>
  </definedNames>
  <calcPr calcId="162913"/>
</workbook>
</file>

<file path=xl/calcChain.xml><?xml version="1.0" encoding="utf-8"?>
<calcChain xmlns="http://schemas.openxmlformats.org/spreadsheetml/2006/main">
  <c r="F124" i="4" l="1"/>
  <c r="H133" i="4"/>
  <c r="H131" i="4"/>
  <c r="H129" i="4"/>
  <c r="H127" i="4"/>
  <c r="H125" i="4"/>
  <c r="G129" i="4"/>
  <c r="I129" i="4" s="1"/>
  <c r="I156" i="4"/>
  <c r="I154" i="4"/>
  <c r="I155" i="4" s="1"/>
  <c r="K45" i="5"/>
  <c r="P145" i="1" s="1"/>
  <c r="P108" i="3"/>
  <c r="P106" i="3"/>
  <c r="P104" i="3"/>
  <c r="P102" i="3"/>
  <c r="P101" i="3"/>
  <c r="N104" i="3"/>
  <c r="N102" i="3"/>
  <c r="Q102" i="3" s="1"/>
  <c r="K59" i="5"/>
  <c r="J59" i="5"/>
  <c r="G133" i="4" s="1"/>
  <c r="K57" i="5"/>
  <c r="J57" i="5"/>
  <c r="G131" i="4" s="1"/>
  <c r="I131" i="4" s="1"/>
  <c r="K55" i="5"/>
  <c r="J55" i="5"/>
  <c r="K53" i="5"/>
  <c r="J53" i="5"/>
  <c r="G127" i="4" s="1"/>
  <c r="I127" i="4" s="1"/>
  <c r="K51" i="5"/>
  <c r="P151" i="1" s="1"/>
  <c r="J51" i="5"/>
  <c r="K49" i="5"/>
  <c r="P149" i="1" s="1"/>
  <c r="J49" i="5"/>
  <c r="K47" i="5"/>
  <c r="P147" i="1" s="1"/>
  <c r="J47" i="5"/>
  <c r="J45" i="5"/>
  <c r="N101" i="3" s="1"/>
  <c r="Q101" i="3" s="1"/>
  <c r="I133" i="4" l="1"/>
  <c r="Q104" i="3"/>
  <c r="G125" i="4"/>
  <c r="I125" i="4" s="1"/>
  <c r="N106" i="3"/>
  <c r="Q106" i="3" s="1"/>
  <c r="N108" i="3"/>
  <c r="Q108" i="3" s="1"/>
  <c r="J125" i="4"/>
  <c r="F59" i="5"/>
  <c r="D133" i="4" s="1"/>
  <c r="E133" i="4" s="1"/>
  <c r="F57" i="5"/>
  <c r="D131" i="4" s="1"/>
  <c r="E131" i="4" s="1"/>
  <c r="F55" i="5"/>
  <c r="D129" i="4" s="1"/>
  <c r="E129" i="4" s="1"/>
  <c r="F53" i="5"/>
  <c r="D127" i="4" s="1"/>
  <c r="E127" i="4" s="1"/>
  <c r="F51" i="5"/>
  <c r="F49" i="5"/>
  <c r="F47" i="5"/>
  <c r="F45" i="5"/>
  <c r="D125" i="4" s="1"/>
  <c r="E125" i="4" s="1"/>
  <c r="D134" i="4" l="1"/>
  <c r="I134" i="4" s="1"/>
  <c r="J129" i="4"/>
  <c r="K129" i="4" s="1"/>
  <c r="J127" i="4"/>
  <c r="K127" i="4" s="1"/>
  <c r="J133" i="4"/>
  <c r="K133" i="4" s="1"/>
  <c r="J131" i="4"/>
  <c r="K131" i="4" s="1"/>
  <c r="B59" i="5"/>
  <c r="C133" i="4" s="1"/>
  <c r="B57" i="5"/>
  <c r="C131" i="4" s="1"/>
  <c r="B55" i="5"/>
  <c r="C129" i="4" s="1"/>
  <c r="B53" i="5"/>
  <c r="C127" i="4" s="1"/>
  <c r="B51" i="5"/>
  <c r="B49" i="5"/>
  <c r="B47" i="5"/>
  <c r="B45" i="5"/>
  <c r="C125" i="4" s="1"/>
  <c r="A45" i="5"/>
  <c r="A47" i="5" s="1"/>
  <c r="A27" i="5"/>
  <c r="G108" i="3"/>
  <c r="G106" i="3"/>
  <c r="G104" i="3"/>
  <c r="G102" i="3"/>
  <c r="F108" i="3"/>
  <c r="F106" i="3"/>
  <c r="F104" i="3"/>
  <c r="F102" i="3"/>
  <c r="E108" i="3"/>
  <c r="E106" i="3"/>
  <c r="E104" i="3"/>
  <c r="E102" i="3"/>
  <c r="G151" i="1"/>
  <c r="G149" i="1"/>
  <c r="G147" i="1"/>
  <c r="G145" i="1"/>
  <c r="F151" i="1"/>
  <c r="F149" i="1"/>
  <c r="F147" i="1"/>
  <c r="F145" i="1"/>
  <c r="E151" i="1"/>
  <c r="E149" i="1"/>
  <c r="E147" i="1"/>
  <c r="E145" i="1"/>
  <c r="F129" i="1"/>
  <c r="G129" i="1"/>
  <c r="E129" i="1"/>
  <c r="G127" i="1"/>
  <c r="F127" i="1"/>
  <c r="E127" i="1"/>
  <c r="D135" i="4" l="1"/>
  <c r="G135" i="4" s="1"/>
  <c r="A51" i="5"/>
  <c r="A57" i="5"/>
  <c r="A55" i="5"/>
  <c r="A59" i="5" s="1"/>
  <c r="A49" i="5"/>
  <c r="A53" i="5"/>
  <c r="C146" i="4"/>
  <c r="C156" i="4"/>
  <c r="K134" i="4"/>
  <c r="G146" i="4" s="1"/>
  <c r="J151" i="1"/>
  <c r="I151" i="1"/>
  <c r="H151" i="1"/>
  <c r="J149" i="1"/>
  <c r="I149" i="1"/>
  <c r="H149" i="1"/>
  <c r="J147" i="1"/>
  <c r="I147" i="1"/>
  <c r="H147" i="1"/>
  <c r="Q145" i="1"/>
  <c r="J145" i="1"/>
  <c r="I145" i="1"/>
  <c r="J137" i="1"/>
  <c r="I137" i="1"/>
  <c r="H137" i="1"/>
  <c r="J129" i="1"/>
  <c r="I129" i="1"/>
  <c r="H129" i="1"/>
  <c r="J127" i="1"/>
  <c r="I127" i="1"/>
  <c r="H127" i="1"/>
  <c r="K108" i="3"/>
  <c r="I108" i="3"/>
  <c r="H108" i="3"/>
  <c r="K106" i="3"/>
  <c r="I106" i="3"/>
  <c r="H106" i="3"/>
  <c r="K104" i="3"/>
  <c r="I104" i="3"/>
  <c r="H104" i="3"/>
  <c r="K102" i="3"/>
  <c r="I102" i="3"/>
  <c r="H102" i="3"/>
  <c r="H134" i="1" l="1"/>
  <c r="H145" i="1" s="1"/>
  <c r="K145" i="1" s="1"/>
  <c r="R145" i="1" s="1"/>
  <c r="K156" i="4"/>
  <c r="L106" i="3"/>
  <c r="L104" i="3"/>
  <c r="L102" i="3"/>
  <c r="L108" i="3"/>
  <c r="L109" i="3" s="1"/>
  <c r="K151" i="1"/>
  <c r="K147" i="1"/>
  <c r="Q149" i="1"/>
  <c r="K129" i="1"/>
  <c r="K149" i="1"/>
  <c r="Q151" i="1"/>
  <c r="I134" i="1"/>
  <c r="K137" i="1"/>
  <c r="J134" i="1"/>
  <c r="K127" i="1"/>
  <c r="Q147" i="1"/>
  <c r="F69" i="4"/>
  <c r="G73" i="3"/>
  <c r="F73" i="3"/>
  <c r="E73" i="3"/>
  <c r="H73" i="3" s="1"/>
  <c r="G71" i="3"/>
  <c r="F71" i="3"/>
  <c r="E71" i="3"/>
  <c r="H71" i="3" s="1"/>
  <c r="F75" i="1"/>
  <c r="L9" i="3"/>
  <c r="K9" i="1"/>
  <c r="H9" i="4"/>
  <c r="H7" i="4"/>
  <c r="G77" i="1"/>
  <c r="F77" i="1"/>
  <c r="G75" i="1"/>
  <c r="J75" i="1" s="1"/>
  <c r="G99" i="1"/>
  <c r="F99" i="1"/>
  <c r="G97" i="1"/>
  <c r="F97" i="1"/>
  <c r="G95" i="1"/>
  <c r="F95" i="1"/>
  <c r="G93" i="1"/>
  <c r="F93" i="1"/>
  <c r="D25" i="4"/>
  <c r="E25" i="4" s="1"/>
  <c r="D23" i="4"/>
  <c r="E23" i="4" s="1"/>
  <c r="D21" i="4"/>
  <c r="E21" i="4" s="1"/>
  <c r="D19" i="4"/>
  <c r="E19" i="4" s="1"/>
  <c r="D17" i="4"/>
  <c r="E17" i="4" s="1"/>
  <c r="L7" i="3"/>
  <c r="K7" i="1"/>
  <c r="N99" i="1"/>
  <c r="N97" i="1"/>
  <c r="N95" i="1"/>
  <c r="N93" i="1"/>
  <c r="P93" i="1" s="1"/>
  <c r="N77" i="3"/>
  <c r="N75" i="3"/>
  <c r="N73" i="3"/>
  <c r="N71" i="3"/>
  <c r="N70" i="3"/>
  <c r="G77" i="3"/>
  <c r="F77" i="3"/>
  <c r="E77" i="3"/>
  <c r="G75" i="3"/>
  <c r="F75" i="3"/>
  <c r="E75" i="3"/>
  <c r="H75" i="3" s="1"/>
  <c r="D78" i="4"/>
  <c r="D76" i="4"/>
  <c r="D74" i="4"/>
  <c r="D72" i="4"/>
  <c r="E72" i="4" s="1"/>
  <c r="D70" i="4"/>
  <c r="E70" i="4" s="1"/>
  <c r="E99" i="1"/>
  <c r="E97" i="1"/>
  <c r="H97" i="1" s="1"/>
  <c r="E95" i="1"/>
  <c r="H95" i="1" s="1"/>
  <c r="E93" i="1"/>
  <c r="E77" i="1"/>
  <c r="H77" i="1" s="1"/>
  <c r="E75" i="1"/>
  <c r="H75" i="1" s="1"/>
  <c r="H61" i="4"/>
  <c r="J85" i="1"/>
  <c r="I85" i="1"/>
  <c r="H85" i="1"/>
  <c r="B41" i="5"/>
  <c r="B39" i="5"/>
  <c r="B37" i="5"/>
  <c r="B35" i="5"/>
  <c r="B33" i="5"/>
  <c r="B31" i="5"/>
  <c r="B29" i="5"/>
  <c r="B27" i="5"/>
  <c r="A14" i="5"/>
  <c r="A39" i="5" s="1"/>
  <c r="A12" i="5"/>
  <c r="A37" i="5" s="1"/>
  <c r="A10" i="5"/>
  <c r="A35" i="5" s="1"/>
  <c r="A8" i="5"/>
  <c r="A33" i="5" s="1"/>
  <c r="A6" i="5"/>
  <c r="A31" i="5" s="1"/>
  <c r="A4" i="5"/>
  <c r="A29" i="5" s="1"/>
  <c r="P17" i="3"/>
  <c r="H23" i="4"/>
  <c r="H21" i="4"/>
  <c r="H19" i="4"/>
  <c r="H17" i="4"/>
  <c r="G21" i="4"/>
  <c r="G19" i="4"/>
  <c r="G23" i="4"/>
  <c r="G17" i="4"/>
  <c r="D42" i="1"/>
  <c r="D151" i="1" s="1"/>
  <c r="D99" i="1"/>
  <c r="D40" i="1"/>
  <c r="D38" i="1"/>
  <c r="D36" i="1"/>
  <c r="C23" i="4"/>
  <c r="C76" i="4" s="1"/>
  <c r="C21" i="4"/>
  <c r="C74" i="4" s="1"/>
  <c r="C19" i="4"/>
  <c r="C72" i="4" s="1"/>
  <c r="C17" i="4"/>
  <c r="C38" i="4" s="1"/>
  <c r="N17" i="3"/>
  <c r="D17" i="3"/>
  <c r="N36" i="1"/>
  <c r="H42" i="1"/>
  <c r="H18" i="1"/>
  <c r="I18" i="1"/>
  <c r="J18" i="1"/>
  <c r="H20" i="1"/>
  <c r="I20" i="1"/>
  <c r="J20" i="1"/>
  <c r="H28" i="1"/>
  <c r="I28" i="1"/>
  <c r="J28" i="1"/>
  <c r="I36" i="1"/>
  <c r="J36" i="1"/>
  <c r="H38" i="1"/>
  <c r="I38" i="1"/>
  <c r="J38" i="1"/>
  <c r="N38" i="1"/>
  <c r="H40" i="1"/>
  <c r="I40" i="1"/>
  <c r="J40" i="1"/>
  <c r="N40" i="1"/>
  <c r="I42" i="1"/>
  <c r="J42" i="1"/>
  <c r="N42" i="1"/>
  <c r="C25" i="4"/>
  <c r="C78" i="4" s="1"/>
  <c r="G25" i="4"/>
  <c r="H25" i="4"/>
  <c r="D18" i="3"/>
  <c r="H18" i="3"/>
  <c r="I18" i="3"/>
  <c r="K18" i="3"/>
  <c r="N18" i="3"/>
  <c r="P18" i="3"/>
  <c r="D20" i="3"/>
  <c r="H20" i="3"/>
  <c r="I20" i="3"/>
  <c r="K20" i="3"/>
  <c r="N20" i="3"/>
  <c r="P20" i="3"/>
  <c r="D22" i="3"/>
  <c r="H22" i="3"/>
  <c r="I22" i="3"/>
  <c r="K22" i="3"/>
  <c r="N22" i="3"/>
  <c r="P22" i="3"/>
  <c r="D24" i="3"/>
  <c r="H24" i="3"/>
  <c r="I24" i="3"/>
  <c r="K24" i="3"/>
  <c r="N24" i="3"/>
  <c r="P24" i="3"/>
  <c r="K85" i="1" l="1"/>
  <c r="D75" i="3"/>
  <c r="D106" i="3"/>
  <c r="D71" i="3"/>
  <c r="D102" i="3"/>
  <c r="D77" i="3"/>
  <c r="D108" i="3"/>
  <c r="D97" i="1"/>
  <c r="D149" i="1"/>
  <c r="D73" i="3"/>
  <c r="D104" i="3"/>
  <c r="D95" i="1"/>
  <c r="D147" i="1"/>
  <c r="C48" i="4"/>
  <c r="D101" i="3"/>
  <c r="H62" i="4"/>
  <c r="H117" i="4"/>
  <c r="K66" i="1"/>
  <c r="K119" i="1"/>
  <c r="L62" i="3"/>
  <c r="L93" i="3"/>
  <c r="D93" i="1"/>
  <c r="D145" i="1"/>
  <c r="L60" i="3"/>
  <c r="L91" i="3"/>
  <c r="H60" i="4"/>
  <c r="H115" i="4"/>
  <c r="K64" i="1"/>
  <c r="K117" i="1"/>
  <c r="I77" i="3"/>
  <c r="E76" i="4"/>
  <c r="E78" i="4"/>
  <c r="R147" i="1"/>
  <c r="R151" i="1"/>
  <c r="L24" i="3"/>
  <c r="R149" i="1"/>
  <c r="R152" i="1" s="1"/>
  <c r="K152" i="1"/>
  <c r="J93" i="1"/>
  <c r="K134" i="1"/>
  <c r="P109" i="3"/>
  <c r="P110" i="3"/>
  <c r="K40" i="1"/>
  <c r="K28" i="1"/>
  <c r="C70" i="4"/>
  <c r="C91" i="4" s="1"/>
  <c r="C101" i="4" s="1"/>
  <c r="I25" i="1"/>
  <c r="L20" i="3"/>
  <c r="I95" i="1"/>
  <c r="H82" i="1"/>
  <c r="H93" i="1" s="1"/>
  <c r="D79" i="4"/>
  <c r="I79" i="4" s="1"/>
  <c r="P95" i="1"/>
  <c r="P99" i="1"/>
  <c r="P97" i="1"/>
  <c r="P73" i="3"/>
  <c r="P77" i="3"/>
  <c r="P71" i="3"/>
  <c r="P75" i="3"/>
  <c r="G70" i="4"/>
  <c r="G78" i="4"/>
  <c r="G74" i="4"/>
  <c r="G72" i="4"/>
  <c r="K72" i="4" s="1"/>
  <c r="D70" i="3"/>
  <c r="K77" i="3"/>
  <c r="L22" i="3"/>
  <c r="K75" i="3"/>
  <c r="I75" i="3"/>
  <c r="K71" i="3"/>
  <c r="L18" i="3"/>
  <c r="I71" i="3"/>
  <c r="J99" i="1"/>
  <c r="K42" i="1"/>
  <c r="H99" i="1"/>
  <c r="J97" i="1"/>
  <c r="K38" i="1"/>
  <c r="I93" i="1"/>
  <c r="J77" i="1"/>
  <c r="J82" i="1" s="1"/>
  <c r="I77" i="1"/>
  <c r="H25" i="1"/>
  <c r="H36" i="1" s="1"/>
  <c r="K36" i="1" s="1"/>
  <c r="K20" i="1"/>
  <c r="I75" i="1"/>
  <c r="K75" i="1" s="1"/>
  <c r="K18" i="1"/>
  <c r="I97" i="1"/>
  <c r="D26" i="4"/>
  <c r="G76" i="4"/>
  <c r="H77" i="3"/>
  <c r="A16" i="5"/>
  <c r="A41" i="5" s="1"/>
  <c r="P70" i="3"/>
  <c r="J95" i="1"/>
  <c r="E74" i="4"/>
  <c r="I73" i="3"/>
  <c r="J25" i="1"/>
  <c r="K73" i="3"/>
  <c r="I99" i="1"/>
  <c r="K95" i="1" l="1"/>
  <c r="R95" i="1" s="1"/>
  <c r="K76" i="4"/>
  <c r="K78" i="4"/>
  <c r="R156" i="1"/>
  <c r="D80" i="4"/>
  <c r="G80" i="4" s="1"/>
  <c r="K158" i="1"/>
  <c r="P153" i="1" s="1"/>
  <c r="K156" i="1"/>
  <c r="H156" i="4" s="1"/>
  <c r="R101" i="3"/>
  <c r="K43" i="1"/>
  <c r="K97" i="1"/>
  <c r="R97" i="1" s="1"/>
  <c r="L71" i="3"/>
  <c r="S71" i="3" s="1"/>
  <c r="L25" i="3"/>
  <c r="P25" i="3" s="1"/>
  <c r="K93" i="1"/>
  <c r="R93" i="1" s="1"/>
  <c r="K99" i="1"/>
  <c r="K77" i="1"/>
  <c r="K82" i="1" s="1"/>
  <c r="K74" i="4"/>
  <c r="K79" i="4" s="1"/>
  <c r="G91" i="4" s="1"/>
  <c r="K101" i="4" s="1"/>
  <c r="L77" i="3"/>
  <c r="S77" i="3" s="1"/>
  <c r="L75" i="3"/>
  <c r="S75" i="3" s="1"/>
  <c r="I82" i="1"/>
  <c r="K25" i="1"/>
  <c r="L73" i="3"/>
  <c r="I26" i="4"/>
  <c r="D146" i="4" l="1"/>
  <c r="D145" i="4"/>
  <c r="P152" i="1"/>
  <c r="K100" i="1"/>
  <c r="K106" i="1" s="1"/>
  <c r="P100" i="1" s="1"/>
  <c r="K49" i="1"/>
  <c r="P44" i="1" s="1"/>
  <c r="R102" i="3"/>
  <c r="S102" i="3" s="1"/>
  <c r="R106" i="3"/>
  <c r="S106" i="3" s="1"/>
  <c r="R104" i="3"/>
  <c r="S104" i="3" s="1"/>
  <c r="R108" i="3"/>
  <c r="S108" i="3" s="1"/>
  <c r="R99" i="1"/>
  <c r="R103" i="1" s="1"/>
  <c r="P26" i="3"/>
  <c r="D27" i="4" s="1"/>
  <c r="G27" i="4" s="1"/>
  <c r="S73" i="3"/>
  <c r="S81" i="3" s="1"/>
  <c r="L78" i="3"/>
  <c r="J160" i="4" l="1"/>
  <c r="R100" i="1"/>
  <c r="K104" i="1" s="1"/>
  <c r="D90" i="4" s="1"/>
  <c r="P43" i="1"/>
  <c r="S113" i="3"/>
  <c r="S109" i="3"/>
  <c r="P101" i="1"/>
  <c r="I17" i="4"/>
  <c r="H70" i="4" s="1"/>
  <c r="I70" i="4" s="1"/>
  <c r="Q20" i="3"/>
  <c r="I23" i="4"/>
  <c r="H76" i="4" s="1"/>
  <c r="P36" i="1"/>
  <c r="Q36" i="1" s="1"/>
  <c r="Q93" i="1" s="1"/>
  <c r="Q17" i="3"/>
  <c r="R17" i="3" s="1"/>
  <c r="Q70" i="3" s="1"/>
  <c r="R70" i="3" s="1"/>
  <c r="P38" i="1"/>
  <c r="P40" i="1"/>
  <c r="Q22" i="3"/>
  <c r="I19" i="4"/>
  <c r="H72" i="4" s="1"/>
  <c r="Q24" i="3"/>
  <c r="P42" i="1"/>
  <c r="I21" i="4"/>
  <c r="Q18" i="3"/>
  <c r="I25" i="4"/>
  <c r="P79" i="3"/>
  <c r="P78" i="3"/>
  <c r="J106" i="4"/>
  <c r="S78" i="3"/>
  <c r="R104" i="1" s="1"/>
  <c r="F146" i="4" l="1"/>
  <c r="E145" i="4"/>
  <c r="H146" i="4"/>
  <c r="K146" i="4"/>
  <c r="G156" i="4" s="1"/>
  <c r="R157" i="1"/>
  <c r="J21" i="4"/>
  <c r="K21" i="4" s="1"/>
  <c r="R18" i="3"/>
  <c r="S18" i="3" s="1"/>
  <c r="J17" i="4"/>
  <c r="Q42" i="1"/>
  <c r="Q99" i="1" s="1"/>
  <c r="J25" i="4"/>
  <c r="K25" i="4" s="1"/>
  <c r="Q38" i="1"/>
  <c r="Q95" i="1" s="1"/>
  <c r="H78" i="4"/>
  <c r="I78" i="4" s="1"/>
  <c r="J78" i="4" s="1"/>
  <c r="Q40" i="1"/>
  <c r="R40" i="1" s="1"/>
  <c r="E99" i="4"/>
  <c r="F101" i="4" s="1"/>
  <c r="D91" i="4"/>
  <c r="R36" i="1"/>
  <c r="R24" i="3"/>
  <c r="Q77" i="3" s="1"/>
  <c r="R77" i="3" s="1"/>
  <c r="R20" i="3"/>
  <c r="Q73" i="3" s="1"/>
  <c r="R73" i="3" s="1"/>
  <c r="H74" i="4"/>
  <c r="I74" i="4" s="1"/>
  <c r="J74" i="4" s="1"/>
  <c r="J23" i="4"/>
  <c r="K23" i="4" s="1"/>
  <c r="R22" i="3"/>
  <c r="Q75" i="3" s="1"/>
  <c r="R75" i="3" s="1"/>
  <c r="J19" i="4"/>
  <c r="K19" i="4" s="1"/>
  <c r="I76" i="4"/>
  <c r="J76" i="4" s="1"/>
  <c r="H91" i="4"/>
  <c r="J91" i="4" s="1"/>
  <c r="K91" i="4"/>
  <c r="E90" i="4"/>
  <c r="F91" i="4"/>
  <c r="I99" i="4"/>
  <c r="I72" i="4"/>
  <c r="J72" i="4" s="1"/>
  <c r="D160" i="4" l="1"/>
  <c r="J146" i="4"/>
  <c r="E156" i="4" s="1"/>
  <c r="I146" i="4"/>
  <c r="D156" i="4" s="1"/>
  <c r="R38" i="1"/>
  <c r="Q71" i="3"/>
  <c r="R71" i="3" s="1"/>
  <c r="R79" i="3" s="1"/>
  <c r="Q97" i="1"/>
  <c r="R101" i="1" s="1"/>
  <c r="R42" i="1"/>
  <c r="S24" i="3"/>
  <c r="S20" i="3"/>
  <c r="K26" i="4"/>
  <c r="G38" i="4" s="1"/>
  <c r="K48" i="4" s="1"/>
  <c r="F100" i="4"/>
  <c r="S22" i="3"/>
  <c r="I100" i="4"/>
  <c r="I101" i="4"/>
  <c r="D106" i="4"/>
  <c r="I91" i="4"/>
  <c r="J81" i="4"/>
  <c r="S25" i="3" l="1"/>
  <c r="F38" i="4" s="1"/>
  <c r="R43" i="1"/>
  <c r="K47" i="1" s="1"/>
  <c r="D37" i="4" s="1"/>
  <c r="R47" i="1"/>
  <c r="S29" i="3"/>
  <c r="J52" i="4"/>
  <c r="E37" i="4" l="1"/>
  <c r="H38" i="4"/>
  <c r="D52" i="4" s="1"/>
  <c r="I46" i="4"/>
  <c r="I47" i="4" s="1"/>
  <c r="R48" i="1"/>
  <c r="K38" i="4"/>
  <c r="H48" i="4" s="1"/>
  <c r="D38" i="4"/>
  <c r="D48" i="4" l="1"/>
  <c r="E46" i="4" s="1"/>
  <c r="F48" i="4" s="1"/>
  <c r="J38" i="4"/>
  <c r="I38" i="4"/>
  <c r="I48" i="4"/>
  <c r="F47" i="4" l="1"/>
</calcChain>
</file>

<file path=xl/connections.xml><?xml version="1.0" encoding="utf-8"?>
<connections xmlns="http://schemas.openxmlformats.org/spreadsheetml/2006/main">
  <connection id="1" name="030325j" type="6" refreshedVersion="0" background="1" saveData="1">
    <textPr sourceFile="J:\d\diflux\pf8_2003\xls\030325j.mom" thousands="." tab="0" comma="1">
      <textFields count="6">
        <textField/>
        <textField/>
        <textField/>
        <textField/>
        <textField/>
        <textField/>
      </textFields>
    </textPr>
  </connection>
  <connection id="2" name="030325j1" type="6" refreshedVersion="0" background="1" saveData="1">
    <textPr sourceFile="J:\d\diflux\pf8_2003\xls\030325j.mom" thousands="." tab="0" comma="1">
      <textFields count="6">
        <textField/>
        <textField/>
        <textField/>
        <textField/>
        <textField/>
        <textField/>
      </textFields>
    </textPr>
  </connection>
  <connection id="3" name="030325j2" type="6" refreshedVersion="0" background="1" saveData="1">
    <textPr sourceFile="J:\d\diflux\pf8_2003\xls\030325j.mom" thousands="." tab="0" comma="1">
      <textFields count="6">
        <textField/>
        <textField/>
        <textField/>
        <textField/>
        <textField/>
        <textField/>
      </textFields>
    </textPr>
  </connection>
  <connection id="4" name="030325j3" type="6" refreshedVersion="0" background="1" saveData="1">
    <textPr sourceFile="J:\d\diflux\pf8_2003\xls\030325j.mom" thousands="." tab="0" comma="1">
      <textFields count="6">
        <textField/>
        <textField/>
        <textField/>
        <textField/>
        <textField/>
        <textField/>
      </textFields>
    </textPr>
  </connection>
  <connection id="5" name="030325j4" type="6" refreshedVersion="0" background="1" saveData="1">
    <textPr sourceFile="J:\d\diflux\pf8_2003\xls\030325j.mom" thousands="." tab="0" comma="1">
      <textFields count="6">
        <textField/>
        <textField/>
        <textField/>
        <textField/>
        <textField/>
        <textField/>
      </textFields>
    </textPr>
  </connection>
  <connection id="6" name="T020102M" type="6" refreshedVersion="0" background="1" saveData="1">
    <textPr sourceFile="C:\di_flux_dhz\T020102M.DAT" delimited="0" thousands="." tab="0" comma="1">
      <textFields count="3">
        <textField/>
        <textField position="5"/>
        <textField position="17"/>
      </textFields>
    </textPr>
  </connection>
  <connection id="7" name="T020102M1" type="6" refreshedVersion="0" background="1" saveData="1">
    <textPr sourceFile="C:\di_flux_dhz\T020102M.DAT" delimited="0" decimal="," thousands=".">
      <textFields count="3">
        <textField/>
        <textField position="5"/>
        <textField position="17"/>
      </textFields>
    </textPr>
  </connection>
</connections>
</file>

<file path=xl/sharedStrings.xml><?xml version="1.0" encoding="utf-8"?>
<sst xmlns="http://schemas.openxmlformats.org/spreadsheetml/2006/main" count="702" uniqueCount="197">
  <si>
    <t xml:space="preserve">  </t>
  </si>
  <si>
    <t>Sens.</t>
  </si>
  <si>
    <t>A</t>
  </si>
  <si>
    <t>Nr.</t>
  </si>
  <si>
    <t>UTC</t>
  </si>
  <si>
    <t>Var.</t>
  </si>
  <si>
    <t>X/nT</t>
  </si>
  <si>
    <t>Y/nT</t>
  </si>
  <si>
    <t>Var</t>
  </si>
  <si>
    <t>D/°</t>
  </si>
  <si>
    <t>Red.Var/°</t>
  </si>
  <si>
    <t>Red.Abl./°</t>
  </si>
  <si>
    <t>D</t>
  </si>
  <si>
    <t>(2)</t>
  </si>
  <si>
    <t>(3)</t>
  </si>
  <si>
    <t>(5)</t>
  </si>
  <si>
    <t>(6)</t>
  </si>
  <si>
    <t>(7)</t>
  </si>
  <si>
    <t>°</t>
  </si>
  <si>
    <t/>
  </si>
  <si>
    <t>Niemegk</t>
  </si>
  <si>
    <t>"</t>
  </si>
  <si>
    <r>
      <t>A</t>
    </r>
    <r>
      <rPr>
        <vertAlign val="subscript"/>
        <sz val="8"/>
        <rFont val="Arial"/>
        <family val="2"/>
      </rPr>
      <t>D</t>
    </r>
    <r>
      <rPr>
        <sz val="8"/>
        <rFont val="Arial"/>
        <family val="2"/>
      </rPr>
      <t>=</t>
    </r>
  </si>
  <si>
    <t>(8)</t>
  </si>
  <si>
    <t>I/°</t>
  </si>
  <si>
    <t>(9)</t>
  </si>
  <si>
    <t>(10)</t>
  </si>
  <si>
    <t>(11)</t>
  </si>
  <si>
    <t>(12)</t>
  </si>
  <si>
    <t>Z/nT</t>
  </si>
  <si>
    <t>Var. I°</t>
  </si>
  <si>
    <t>(13)</t>
  </si>
  <si>
    <t>I</t>
  </si>
  <si>
    <t>Pf. 8</t>
  </si>
  <si>
    <t>I =</t>
  </si>
  <si>
    <r>
      <t>I</t>
    </r>
    <r>
      <rPr>
        <vertAlign val="subscript"/>
        <sz val="8"/>
        <rFont val="Arial"/>
        <family val="2"/>
      </rPr>
      <t>p</t>
    </r>
    <r>
      <rPr>
        <sz val="8"/>
        <rFont val="Arial"/>
        <family val="2"/>
      </rPr>
      <t xml:space="preserve"> =</t>
    </r>
  </si>
  <si>
    <r>
      <t>cosI</t>
    </r>
    <r>
      <rPr>
        <vertAlign val="subscript"/>
        <sz val="8"/>
        <rFont val="Arial"/>
        <family val="2"/>
      </rPr>
      <t>p</t>
    </r>
    <r>
      <rPr>
        <sz val="8"/>
        <rFont val="Arial"/>
        <family val="2"/>
      </rPr>
      <t xml:space="preserve"> =</t>
    </r>
  </si>
  <si>
    <r>
      <t>sinI</t>
    </r>
    <r>
      <rPr>
        <vertAlign val="subscript"/>
        <sz val="8"/>
        <rFont val="Arial"/>
        <family val="2"/>
      </rPr>
      <t xml:space="preserve">p </t>
    </r>
    <r>
      <rPr>
        <sz val="8"/>
        <rFont val="Arial"/>
        <family val="2"/>
      </rPr>
      <t>=</t>
    </r>
    <r>
      <rPr>
        <vertAlign val="subscript"/>
        <sz val="8"/>
        <rFont val="Arial"/>
        <family val="2"/>
      </rPr>
      <t xml:space="preserve"> </t>
    </r>
  </si>
  <si>
    <t>Nr</t>
  </si>
  <si>
    <t>F/nT</t>
  </si>
  <si>
    <t>(16)</t>
  </si>
  <si>
    <t>(17)</t>
  </si>
  <si>
    <t>(18)</t>
  </si>
  <si>
    <t>Red.Var F/nT</t>
  </si>
  <si>
    <t>(20)</t>
  </si>
  <si>
    <r>
      <t>F</t>
    </r>
    <r>
      <rPr>
        <vertAlign val="subscript"/>
        <sz val="8"/>
        <rFont val="Arial"/>
        <family val="2"/>
      </rPr>
      <t>p</t>
    </r>
    <r>
      <rPr>
        <sz val="8"/>
        <rFont val="Arial"/>
        <family val="2"/>
      </rPr>
      <t xml:space="preserve"> = </t>
    </r>
  </si>
  <si>
    <t>F =</t>
  </si>
  <si>
    <r>
      <t xml:space="preserve">            Azimut A</t>
    </r>
    <r>
      <rPr>
        <vertAlign val="subscript"/>
        <sz val="8"/>
        <rFont val="Arial"/>
        <family val="2"/>
      </rPr>
      <t>Z</t>
    </r>
    <r>
      <rPr>
        <sz val="8"/>
        <rFont val="Arial"/>
        <family val="2"/>
      </rPr>
      <t xml:space="preserve"> =</t>
    </r>
  </si>
  <si>
    <r>
      <t>U</t>
    </r>
    <r>
      <rPr>
        <vertAlign val="subscript"/>
        <sz val="8"/>
        <rFont val="Arial"/>
        <family val="2"/>
      </rPr>
      <t>D</t>
    </r>
    <r>
      <rPr>
        <sz val="8"/>
        <rFont val="Arial"/>
        <family val="2"/>
      </rPr>
      <t xml:space="preserve"> =</t>
    </r>
  </si>
  <si>
    <r>
      <t xml:space="preserve">U </t>
    </r>
    <r>
      <rPr>
        <vertAlign val="subscript"/>
        <sz val="8"/>
        <rFont val="Arial"/>
        <family val="2"/>
      </rPr>
      <t>I</t>
    </r>
    <r>
      <rPr>
        <sz val="8"/>
        <rFont val="Arial"/>
        <family val="2"/>
      </rPr>
      <t xml:space="preserve"> =</t>
    </r>
  </si>
  <si>
    <r>
      <t>D = A</t>
    </r>
    <r>
      <rPr>
        <vertAlign val="subscript"/>
        <sz val="8"/>
        <rFont val="Arial"/>
        <family val="2"/>
      </rPr>
      <t>D</t>
    </r>
    <r>
      <rPr>
        <sz val="8"/>
        <rFont val="Arial"/>
        <family val="2"/>
      </rPr>
      <t xml:space="preserve"> + A</t>
    </r>
    <r>
      <rPr>
        <vertAlign val="subscript"/>
        <sz val="8"/>
        <rFont val="Arial"/>
        <family val="2"/>
      </rPr>
      <t>Z</t>
    </r>
    <r>
      <rPr>
        <sz val="8"/>
        <rFont val="Arial"/>
        <family val="2"/>
      </rPr>
      <t xml:space="preserve"> - A</t>
    </r>
    <r>
      <rPr>
        <vertAlign val="subscript"/>
        <sz val="8"/>
        <rFont val="Arial"/>
        <family val="2"/>
      </rPr>
      <t>M</t>
    </r>
    <r>
      <rPr>
        <sz val="8"/>
        <rFont val="Arial"/>
        <family val="2"/>
      </rPr>
      <t xml:space="preserve"> - 90 = </t>
    </r>
  </si>
  <si>
    <t>H/nT</t>
  </si>
  <si>
    <r>
      <t>H</t>
    </r>
    <r>
      <rPr>
        <b/>
        <sz val="8"/>
        <rFont val="Arial"/>
        <family val="2"/>
      </rPr>
      <t xml:space="preserve"> </t>
    </r>
    <r>
      <rPr>
        <b/>
        <vertAlign val="superscript"/>
        <sz val="8"/>
        <rFont val="Arial"/>
        <family val="2"/>
      </rPr>
      <t>.</t>
    </r>
    <r>
      <rPr>
        <b/>
        <sz val="8"/>
        <rFont val="Arial"/>
        <family val="2"/>
      </rPr>
      <t xml:space="preserve"> </t>
    </r>
    <r>
      <rPr>
        <sz val="8"/>
        <rFont val="Arial"/>
        <family val="2"/>
      </rPr>
      <t>sinD</t>
    </r>
  </si>
  <si>
    <r>
      <t>H</t>
    </r>
    <r>
      <rPr>
        <b/>
        <vertAlign val="superscript"/>
        <sz val="8"/>
        <rFont val="Arial"/>
        <family val="2"/>
      </rPr>
      <t xml:space="preserve"> .</t>
    </r>
    <r>
      <rPr>
        <sz val="8"/>
        <rFont val="Arial"/>
        <family val="2"/>
      </rPr>
      <t xml:space="preserve"> cosD</t>
    </r>
  </si>
  <si>
    <r>
      <t>F</t>
    </r>
    <r>
      <rPr>
        <b/>
        <vertAlign val="superscript"/>
        <sz val="8"/>
        <rFont val="Arial"/>
        <family val="2"/>
      </rPr>
      <t xml:space="preserve"> .</t>
    </r>
    <r>
      <rPr>
        <sz val="8"/>
        <rFont val="Arial"/>
        <family val="2"/>
      </rPr>
      <t xml:space="preserve">  sinI</t>
    </r>
  </si>
  <si>
    <r>
      <t>F</t>
    </r>
    <r>
      <rPr>
        <b/>
        <vertAlign val="superscript"/>
        <sz val="8"/>
        <rFont val="Arial"/>
        <family val="2"/>
      </rPr>
      <t xml:space="preserve"> . </t>
    </r>
    <r>
      <rPr>
        <sz val="8"/>
        <rFont val="Arial"/>
        <family val="2"/>
      </rPr>
      <t>cosI</t>
    </r>
  </si>
  <si>
    <t>UTC [ 1 ]</t>
  </si>
  <si>
    <t>nT</t>
  </si>
  <si>
    <t>[  ]</t>
  </si>
  <si>
    <t>(9)-(14)</t>
  </si>
  <si>
    <t xml:space="preserve">   '</t>
  </si>
  <si>
    <t xml:space="preserve">  '</t>
  </si>
  <si>
    <t>(5)-(5)[1])</t>
  </si>
  <si>
    <t>(2)-(6)</t>
  </si>
  <si>
    <t>(1)</t>
  </si>
  <si>
    <t xml:space="preserve">   "</t>
  </si>
  <si>
    <t xml:space="preserve">  °</t>
  </si>
  <si>
    <t xml:space="preserve"> "</t>
  </si>
  <si>
    <r>
      <t xml:space="preserve">   A</t>
    </r>
    <r>
      <rPr>
        <vertAlign val="subscript"/>
        <sz val="8"/>
        <rFont val="Arial"/>
        <family val="2"/>
      </rPr>
      <t>M</t>
    </r>
    <r>
      <rPr>
        <sz val="8"/>
        <rFont val="Arial"/>
        <family val="2"/>
      </rPr>
      <t xml:space="preserve"> =</t>
    </r>
  </si>
  <si>
    <r>
      <t>*     F</t>
    </r>
    <r>
      <rPr>
        <vertAlign val="subscript"/>
        <sz val="8"/>
        <rFont val="Arial"/>
        <family val="2"/>
      </rPr>
      <t>p</t>
    </r>
    <r>
      <rPr>
        <sz val="8"/>
        <rFont val="Arial"/>
        <family val="2"/>
      </rPr>
      <t xml:space="preserve"> =</t>
    </r>
  </si>
  <si>
    <t>'</t>
  </si>
  <si>
    <t xml:space="preserve">  "</t>
  </si>
  <si>
    <t xml:space="preserve">    </t>
  </si>
  <si>
    <r>
      <t>A</t>
    </r>
    <r>
      <rPr>
        <vertAlign val="subscript"/>
        <sz val="8"/>
        <rFont val="Arial"/>
        <family val="2"/>
      </rPr>
      <t>P</t>
    </r>
    <r>
      <rPr>
        <sz val="8"/>
        <rFont val="Arial"/>
        <family val="2"/>
      </rPr>
      <t>=</t>
    </r>
  </si>
  <si>
    <r>
      <t>D</t>
    </r>
    <r>
      <rPr>
        <vertAlign val="subscript"/>
        <sz val="8"/>
        <rFont val="Arial"/>
        <family val="2"/>
      </rPr>
      <t xml:space="preserve">p </t>
    </r>
    <r>
      <rPr>
        <sz val="8"/>
        <rFont val="Arial"/>
        <family val="2"/>
      </rPr>
      <t>= A</t>
    </r>
    <r>
      <rPr>
        <vertAlign val="subscript"/>
        <sz val="8"/>
        <rFont val="Arial"/>
        <family val="2"/>
      </rPr>
      <t>p</t>
    </r>
    <r>
      <rPr>
        <sz val="8"/>
        <rFont val="Arial"/>
        <family val="2"/>
      </rPr>
      <t xml:space="preserve"> + A</t>
    </r>
    <r>
      <rPr>
        <vertAlign val="subscript"/>
        <sz val="8"/>
        <rFont val="Arial"/>
        <family val="2"/>
      </rPr>
      <t>z</t>
    </r>
    <r>
      <rPr>
        <sz val="8"/>
        <rFont val="Arial"/>
        <family val="2"/>
      </rPr>
      <t xml:space="preserve"> - A</t>
    </r>
    <r>
      <rPr>
        <vertAlign val="subscript"/>
        <sz val="8"/>
        <rFont val="Arial"/>
        <family val="2"/>
      </rPr>
      <t>M</t>
    </r>
    <r>
      <rPr>
        <sz val="8"/>
        <rFont val="Arial"/>
        <family val="2"/>
      </rPr>
      <t xml:space="preserve"> -90° = </t>
    </r>
  </si>
  <si>
    <r>
      <t>sinD</t>
    </r>
    <r>
      <rPr>
        <vertAlign val="subscript"/>
        <sz val="8"/>
        <rFont val="Arial"/>
        <family val="2"/>
      </rPr>
      <t>P</t>
    </r>
    <r>
      <rPr>
        <sz val="8"/>
        <rFont val="Arial"/>
        <family val="2"/>
      </rPr>
      <t>=</t>
    </r>
  </si>
  <si>
    <r>
      <t>cosD</t>
    </r>
    <r>
      <rPr>
        <vertAlign val="subscript"/>
        <sz val="8"/>
        <rFont val="Arial"/>
        <family val="2"/>
      </rPr>
      <t>P</t>
    </r>
    <r>
      <rPr>
        <sz val="8"/>
        <rFont val="Arial"/>
        <family val="2"/>
      </rPr>
      <t>=</t>
    </r>
  </si>
  <si>
    <t>°           '</t>
  </si>
  <si>
    <t>(4)</t>
  </si>
  <si>
    <t xml:space="preserve"> '</t>
  </si>
  <si>
    <r>
      <t>H</t>
    </r>
    <r>
      <rPr>
        <vertAlign val="subscript"/>
        <sz val="8"/>
        <rFont val="Arial"/>
        <family val="2"/>
      </rPr>
      <t>P</t>
    </r>
    <r>
      <rPr>
        <sz val="8"/>
        <rFont val="Arial"/>
        <family val="2"/>
      </rPr>
      <t xml:space="preserve"> = F</t>
    </r>
    <r>
      <rPr>
        <vertAlign val="subscript"/>
        <sz val="8"/>
        <rFont val="Arial"/>
        <family val="2"/>
      </rPr>
      <t>P</t>
    </r>
    <r>
      <rPr>
        <sz val="8"/>
        <rFont val="Arial"/>
        <family val="2"/>
      </rPr>
      <t xml:space="preserve"> * cosI</t>
    </r>
    <r>
      <rPr>
        <vertAlign val="subscript"/>
        <sz val="8"/>
        <rFont val="Arial"/>
        <family val="2"/>
      </rPr>
      <t>P</t>
    </r>
  </si>
  <si>
    <r>
      <t>H</t>
    </r>
    <r>
      <rPr>
        <vertAlign val="subscript"/>
        <sz val="8"/>
        <rFont val="Arial"/>
        <family val="2"/>
      </rPr>
      <t>P</t>
    </r>
    <r>
      <rPr>
        <sz val="8"/>
        <rFont val="Arial"/>
        <family val="2"/>
      </rPr>
      <t xml:space="preserve"> = </t>
    </r>
  </si>
  <si>
    <t>D/nT</t>
  </si>
  <si>
    <t>Z - (10[1])</t>
  </si>
  <si>
    <t>(14)</t>
  </si>
  <si>
    <t>(15)</t>
  </si>
  <si>
    <t>(19)</t>
  </si>
  <si>
    <t xml:space="preserve"> °</t>
  </si>
  <si>
    <t>°     '</t>
  </si>
  <si>
    <r>
      <t xml:space="preserve">     H</t>
    </r>
    <r>
      <rPr>
        <vertAlign val="subscript"/>
        <sz val="8"/>
        <rFont val="Arial"/>
        <family val="2"/>
      </rPr>
      <t>B</t>
    </r>
    <r>
      <rPr>
        <sz val="8"/>
        <rFont val="Arial"/>
        <family val="2"/>
      </rPr>
      <t xml:space="preserve"> = √H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>–(3[1]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-  (9[1])</t>
    </r>
  </si>
  <si>
    <r>
      <t>(11)  Var. I/°  = (cosI</t>
    </r>
    <r>
      <rPr>
        <vertAlign val="subscript"/>
        <sz val="8"/>
        <rFont val="Arial"/>
        <family val="2"/>
      </rPr>
      <t>p</t>
    </r>
    <r>
      <rPr>
        <sz val="8"/>
        <rFont val="Arial"/>
        <family val="2"/>
      </rPr>
      <t xml:space="preserve">  *  (10)  - sinI</t>
    </r>
    <r>
      <rPr>
        <vertAlign val="subscript"/>
        <sz val="8"/>
        <rFont val="Arial"/>
        <family val="2"/>
      </rPr>
      <t>p</t>
    </r>
    <r>
      <rPr>
        <sz val="8"/>
        <rFont val="Arial"/>
        <family val="2"/>
      </rPr>
      <t xml:space="preserve"> * (9)) /  U</t>
    </r>
    <r>
      <rPr>
        <vertAlign val="subscript"/>
        <sz val="8"/>
        <rFont val="Arial"/>
        <family val="2"/>
      </rPr>
      <t>I</t>
    </r>
  </si>
  <si>
    <r>
      <t>(18) Var.F/nT = cosI</t>
    </r>
    <r>
      <rPr>
        <vertAlign val="subscript"/>
        <sz val="8"/>
        <rFont val="Arial"/>
        <family val="2"/>
      </rPr>
      <t>p</t>
    </r>
    <r>
      <rPr>
        <sz val="8"/>
        <rFont val="Arial"/>
        <family val="2"/>
      </rPr>
      <t xml:space="preserve"> * (16) + sinI</t>
    </r>
    <r>
      <rPr>
        <vertAlign val="subscript"/>
        <sz val="8"/>
        <rFont val="Arial"/>
        <family val="2"/>
      </rPr>
      <t>p</t>
    </r>
    <r>
      <rPr>
        <sz val="8"/>
        <rFont val="Arial"/>
        <family val="2"/>
      </rPr>
      <t xml:space="preserve"> * (17)</t>
    </r>
  </si>
  <si>
    <r>
      <t>(4) Var. D/° = (3) / (0.01745 * F</t>
    </r>
    <r>
      <rPr>
        <vertAlign val="subscript"/>
        <sz val="8"/>
        <rFont val="Arial"/>
        <family val="2"/>
      </rPr>
      <t>P</t>
    </r>
    <r>
      <rPr>
        <sz val="8"/>
        <rFont val="Arial"/>
        <family val="2"/>
      </rPr>
      <t xml:space="preserve"> * cosI</t>
    </r>
    <r>
      <rPr>
        <vertAlign val="subscript"/>
        <sz val="8"/>
        <rFont val="Arial"/>
        <family val="2"/>
      </rPr>
      <t>P</t>
    </r>
    <r>
      <rPr>
        <sz val="8"/>
        <rFont val="Arial"/>
        <family val="2"/>
      </rPr>
      <t>)</t>
    </r>
  </si>
  <si>
    <r>
      <t>H</t>
    </r>
    <r>
      <rPr>
        <b/>
        <vertAlign val="subscript"/>
        <sz val="8"/>
        <rFont val="Arial"/>
        <family val="2"/>
      </rPr>
      <t>B</t>
    </r>
  </si>
  <si>
    <r>
      <t>D</t>
    </r>
    <r>
      <rPr>
        <b/>
        <vertAlign val="subscript"/>
        <sz val="8"/>
        <rFont val="Arial"/>
        <family val="2"/>
      </rPr>
      <t>B</t>
    </r>
  </si>
  <si>
    <r>
      <t>Z</t>
    </r>
    <r>
      <rPr>
        <b/>
        <vertAlign val="subscript"/>
        <sz val="8"/>
        <rFont val="Arial"/>
        <family val="2"/>
      </rPr>
      <t>B</t>
    </r>
  </si>
  <si>
    <r>
      <t>I</t>
    </r>
    <r>
      <rPr>
        <b/>
        <vertAlign val="subscript"/>
        <sz val="8"/>
        <rFont val="Arial"/>
        <family val="2"/>
      </rPr>
      <t>B</t>
    </r>
  </si>
  <si>
    <r>
      <t>∆</t>
    </r>
    <r>
      <rPr>
        <b/>
        <sz val="8"/>
        <rFont val="Times New Roman"/>
        <family val="1"/>
      </rPr>
      <t>F = F - F</t>
    </r>
    <r>
      <rPr>
        <b/>
        <vertAlign val="subscript"/>
        <sz val="8"/>
        <rFont val="Times New Roman"/>
        <family val="1"/>
      </rPr>
      <t>GSM</t>
    </r>
  </si>
  <si>
    <t>GSM</t>
  </si>
  <si>
    <r>
      <t xml:space="preserve">   D</t>
    </r>
    <r>
      <rPr>
        <vertAlign val="subscript"/>
        <sz val="8"/>
        <rFont val="Arial"/>
        <family val="2"/>
      </rPr>
      <t>B</t>
    </r>
    <r>
      <rPr>
        <sz val="8"/>
        <rFont val="Arial"/>
        <family val="2"/>
      </rPr>
      <t xml:space="preserve"> = D - arctan ((3[1])/H</t>
    </r>
    <r>
      <rPr>
        <vertAlign val="subscript"/>
        <sz val="8"/>
        <rFont val="Arial"/>
        <family val="2"/>
      </rPr>
      <t xml:space="preserve">B </t>
    </r>
    <r>
      <rPr>
        <sz val="8"/>
        <rFont val="Arial"/>
        <family val="2"/>
      </rPr>
      <t>+ (9[1]))</t>
    </r>
  </si>
  <si>
    <t xml:space="preserve"> </t>
  </si>
  <si>
    <r>
      <t>E</t>
    </r>
    <r>
      <rPr>
        <vertAlign val="subscript"/>
        <sz val="8"/>
        <rFont val="Arial"/>
        <family val="2"/>
      </rPr>
      <t>up</t>
    </r>
  </si>
  <si>
    <r>
      <t>W</t>
    </r>
    <r>
      <rPr>
        <vertAlign val="subscript"/>
        <sz val="8"/>
        <rFont val="Arial"/>
        <family val="2"/>
      </rPr>
      <t>up</t>
    </r>
  </si>
  <si>
    <r>
      <t>E</t>
    </r>
    <r>
      <rPr>
        <vertAlign val="subscript"/>
        <sz val="8"/>
        <rFont val="Arial"/>
        <family val="2"/>
      </rPr>
      <t>dn</t>
    </r>
  </si>
  <si>
    <r>
      <t>W</t>
    </r>
    <r>
      <rPr>
        <vertAlign val="subscript"/>
        <sz val="8"/>
        <rFont val="Arial"/>
        <family val="2"/>
      </rPr>
      <t>dn</t>
    </r>
  </si>
  <si>
    <t>Date</t>
  </si>
  <si>
    <t>Time</t>
  </si>
  <si>
    <t>Var H/nT</t>
  </si>
  <si>
    <t>Var D/nT</t>
  </si>
  <si>
    <t>Var Z/nT</t>
  </si>
  <si>
    <t>Reduced to</t>
  </si>
  <si>
    <t>A pillar</t>
  </si>
  <si>
    <t>A pillar F/nT</t>
  </si>
  <si>
    <t>(red. Var.)</t>
  </si>
  <si>
    <t>[1]</t>
  </si>
  <si>
    <t>Location:</t>
  </si>
  <si>
    <t>Date:</t>
  </si>
  <si>
    <t>Pillar:</t>
  </si>
  <si>
    <t>Absolute</t>
  </si>
  <si>
    <t>First reading:</t>
  </si>
  <si>
    <t>Observer:</t>
  </si>
  <si>
    <t>THEO 010A</t>
  </si>
  <si>
    <t>LEMI-035</t>
  </si>
  <si>
    <t>Absolutes:</t>
  </si>
  <si>
    <t>Variations:</t>
  </si>
  <si>
    <t>THEO-010A</t>
  </si>
  <si>
    <t>Mean</t>
  </si>
  <si>
    <t>F</t>
  </si>
  <si>
    <t>Absolute values:</t>
  </si>
  <si>
    <t>Base values:</t>
  </si>
  <si>
    <t>Myra readings:</t>
  </si>
  <si>
    <t>Myra Sensor up:</t>
  </si>
  <si>
    <t>Myra Sensor down:</t>
  </si>
  <si>
    <t>Myra reading:</t>
  </si>
  <si>
    <r>
      <t>N</t>
    </r>
    <r>
      <rPr>
        <vertAlign val="subscript"/>
        <sz val="8"/>
        <rFont val="Arial"/>
        <family val="2"/>
      </rPr>
      <t>dn</t>
    </r>
  </si>
  <si>
    <r>
      <t>S</t>
    </r>
    <r>
      <rPr>
        <vertAlign val="subscript"/>
        <sz val="8"/>
        <rFont val="Arial"/>
        <family val="2"/>
      </rPr>
      <t>up</t>
    </r>
  </si>
  <si>
    <r>
      <t>N</t>
    </r>
    <r>
      <rPr>
        <vertAlign val="subscript"/>
        <sz val="8"/>
        <rFont val="Arial"/>
        <family val="2"/>
      </rPr>
      <t>up</t>
    </r>
  </si>
  <si>
    <r>
      <t>S</t>
    </r>
    <r>
      <rPr>
        <vertAlign val="subscript"/>
        <sz val="8"/>
        <rFont val="Arial"/>
        <family val="2"/>
      </rPr>
      <t>dn</t>
    </r>
  </si>
  <si>
    <t xml:space="preserve"> Theodolite Readings</t>
  </si>
  <si>
    <t>Theodolite Readings</t>
  </si>
  <si>
    <t>dIdD</t>
  </si>
  <si>
    <t>Var I/°</t>
  </si>
  <si>
    <t>Var D/°</t>
  </si>
  <si>
    <t xml:space="preserve">              Degrees</t>
  </si>
  <si>
    <t>Degrees</t>
  </si>
  <si>
    <t>Analysis of DI-Flux-Measrements  -  D - I - F</t>
  </si>
  <si>
    <t>LEMI_Var.</t>
  </si>
  <si>
    <t>dIdD_Var.</t>
  </si>
  <si>
    <t>(17-(17[1])</t>
  </si>
  <si>
    <t>(19-(19[1])</t>
  </si>
  <si>
    <r>
      <rPr>
        <sz val="8"/>
        <rFont val="Calibri"/>
        <family val="2"/>
        <charset val="238"/>
      </rPr>
      <t>Δ</t>
    </r>
    <r>
      <rPr>
        <sz val="8"/>
        <rFont val="Arial"/>
        <family val="2"/>
      </rPr>
      <t>Var F/nT</t>
    </r>
  </si>
  <si>
    <t>(18) - (16)</t>
  </si>
  <si>
    <r>
      <rPr>
        <sz val="8"/>
        <rFont val="Calibri"/>
        <family val="2"/>
        <charset val="238"/>
      </rPr>
      <t>Δ</t>
    </r>
    <r>
      <rPr>
        <sz val="8"/>
        <rFont val="Arial"/>
        <family val="2"/>
      </rPr>
      <t>Var.F(19) = LEMI_Red.Var.F(18)-dIdD_Var.F(16)</t>
    </r>
  </si>
  <si>
    <r>
      <rPr>
        <sz val="8"/>
        <rFont val="Calibri"/>
        <family val="2"/>
        <charset val="238"/>
      </rPr>
      <t>ΔV</t>
    </r>
    <r>
      <rPr>
        <sz val="8"/>
        <rFont val="Arial"/>
        <family val="2"/>
      </rPr>
      <t>ar. F/nT=</t>
    </r>
  </si>
  <si>
    <r>
      <t xml:space="preserve">   D</t>
    </r>
    <r>
      <rPr>
        <vertAlign val="subscript"/>
        <sz val="8"/>
        <rFont val="Arial"/>
        <family val="2"/>
      </rPr>
      <t>B</t>
    </r>
    <r>
      <rPr>
        <sz val="8"/>
        <rFont val="Arial"/>
        <family val="2"/>
      </rPr>
      <t xml:space="preserve"> = D -Var. D/°[1]</t>
    </r>
  </si>
  <si>
    <r>
      <t xml:space="preserve">   I</t>
    </r>
    <r>
      <rPr>
        <vertAlign val="subscript"/>
        <sz val="8"/>
        <rFont val="Arial"/>
        <family val="2"/>
      </rPr>
      <t>B</t>
    </r>
    <r>
      <rPr>
        <sz val="8"/>
        <rFont val="Arial"/>
        <family val="2"/>
      </rPr>
      <t xml:space="preserve"> = I -Var. I/°[1]</t>
    </r>
  </si>
  <si>
    <t>/</t>
  </si>
  <si>
    <t>Analysis of DI-Flux-Measrements  -  H - D - Z</t>
  </si>
  <si>
    <t>Department of Geophyisics, Faculty of Science, Zagreb, Croatia</t>
  </si>
  <si>
    <t>Department of Geophyisics, Faculty of Science, Zagreb,Croatia</t>
  </si>
  <si>
    <t>(11)-(11[1])</t>
  </si>
  <si>
    <t>(9)-(9[1])</t>
  </si>
  <si>
    <t>LEMI Red.</t>
  </si>
  <si>
    <t>Var. I/°</t>
  </si>
  <si>
    <r>
      <rPr>
        <sz val="8"/>
        <rFont val="Calibri"/>
        <family val="2"/>
        <charset val="238"/>
      </rPr>
      <t>ΔV</t>
    </r>
    <r>
      <rPr>
        <sz val="8"/>
        <rFont val="Arial"/>
        <family val="2"/>
      </rPr>
      <t>ar. I/°</t>
    </r>
  </si>
  <si>
    <t>(9)-(10)</t>
  </si>
  <si>
    <t>(11)-(10)</t>
  </si>
  <si>
    <r>
      <t xml:space="preserve">(12) </t>
    </r>
    <r>
      <rPr>
        <sz val="8"/>
        <rFont val="Calibri"/>
        <family val="2"/>
        <charset val="238"/>
      </rPr>
      <t>Δ</t>
    </r>
    <r>
      <rPr>
        <sz val="8"/>
        <rFont val="Arial"/>
        <family val="2"/>
      </rPr>
      <t xml:space="preserve"> Var. I/°  = LEMI_Red.Var. I (11) - dIdD_Red.Var. I (10)</t>
    </r>
  </si>
  <si>
    <t>Means:</t>
  </si>
  <si>
    <t>(3)-(3)[1])</t>
  </si>
  <si>
    <r>
      <t xml:space="preserve">(5) </t>
    </r>
    <r>
      <rPr>
        <sz val="8"/>
        <rFont val="Calibri"/>
        <family val="2"/>
        <charset val="238"/>
      </rPr>
      <t>Δ</t>
    </r>
    <r>
      <rPr>
        <sz val="8"/>
        <rFont val="Arial"/>
        <family val="2"/>
      </rPr>
      <t>Var. D/° = LEMI_Red.Var.I/°-dIdD_Red.Var.I/°</t>
    </r>
  </si>
  <si>
    <t>(2)-(4)</t>
  </si>
  <si>
    <r>
      <t>INC: S</t>
    </r>
    <r>
      <rPr>
        <vertAlign val="subscript"/>
        <sz val="8"/>
        <rFont val="Arial"/>
        <family val="2"/>
      </rPr>
      <t>0</t>
    </r>
    <r>
      <rPr>
        <sz val="8"/>
        <rFont val="Arial"/>
        <family val="2"/>
      </rPr>
      <t xml:space="preserve"> /nT= </t>
    </r>
  </si>
  <si>
    <r>
      <t>DEC: S</t>
    </r>
    <r>
      <rPr>
        <vertAlign val="subscript"/>
        <sz val="8"/>
        <rFont val="Arial"/>
        <family val="2"/>
      </rPr>
      <t>0</t>
    </r>
    <r>
      <rPr>
        <sz val="8"/>
        <rFont val="Arial"/>
        <family val="2"/>
      </rPr>
      <t xml:space="preserve"> /nT= </t>
    </r>
  </si>
  <si>
    <t>F/nT -(15)[1]</t>
  </si>
  <si>
    <r>
      <rPr>
        <sz val="8"/>
        <rFont val="Calibri"/>
        <family val="2"/>
        <charset val="238"/>
      </rPr>
      <t>ΔV</t>
    </r>
    <r>
      <rPr>
        <sz val="8"/>
        <rFont val="Arial"/>
        <family val="2"/>
      </rPr>
      <t>ar. D/°</t>
    </r>
  </si>
  <si>
    <t>Green fields sohould be filled</t>
  </si>
  <si>
    <t>Mladen Baric</t>
  </si>
  <si>
    <r>
      <rPr>
        <sz val="8"/>
        <rFont val="Calibri"/>
        <family val="2"/>
        <charset val="238"/>
      </rPr>
      <t>ΔV</t>
    </r>
    <r>
      <rPr>
        <sz val="8"/>
        <rFont val="Arial"/>
        <family val="2"/>
      </rPr>
      <t>ar. D/''=</t>
    </r>
  </si>
  <si>
    <r>
      <rPr>
        <sz val="8"/>
        <rFont val="Calibri"/>
        <family val="2"/>
        <charset val="238"/>
      </rPr>
      <t>ΔV</t>
    </r>
    <r>
      <rPr>
        <sz val="8"/>
        <rFont val="Arial"/>
        <family val="2"/>
      </rPr>
      <t>ar. I/''=</t>
    </r>
  </si>
  <si>
    <r>
      <rPr>
        <sz val="8"/>
        <rFont val="Calibri"/>
        <family val="2"/>
        <charset val="238"/>
      </rPr>
      <t>δ</t>
    </r>
    <r>
      <rPr>
        <sz val="8"/>
        <rFont val="Arial"/>
        <family val="2"/>
      </rPr>
      <t>/ '=</t>
    </r>
  </si>
  <si>
    <r>
      <rPr>
        <sz val="9"/>
        <rFont val="Calibri"/>
        <family val="2"/>
        <charset val="238"/>
      </rPr>
      <t>ε</t>
    </r>
    <r>
      <rPr>
        <sz val="9"/>
        <rFont val="Arial"/>
        <family val="2"/>
        <charset val="238"/>
      </rPr>
      <t>/ ' =</t>
    </r>
  </si>
  <si>
    <r>
      <rPr>
        <sz val="9"/>
        <rFont val="Calibri"/>
        <family val="2"/>
        <charset val="238"/>
      </rPr>
      <t>δ</t>
    </r>
    <r>
      <rPr>
        <sz val="9"/>
        <rFont val="Arial"/>
        <family val="2"/>
      </rPr>
      <t>/ ' =</t>
    </r>
  </si>
  <si>
    <r>
      <rPr>
        <sz val="10"/>
        <rFont val="Calibri"/>
        <family val="2"/>
        <charset val="238"/>
      </rPr>
      <t>ε</t>
    </r>
    <r>
      <rPr>
        <sz val="10"/>
        <rFont val="Arial"/>
        <family val="2"/>
        <charset val="238"/>
      </rPr>
      <t>/ ' =</t>
    </r>
  </si>
  <si>
    <t>Geomagnetic Observatory Lonjsko Polje (LON)</t>
  </si>
  <si>
    <t>Geomagnetic observatory Lonjsko Polje (LON)</t>
  </si>
  <si>
    <t>LON</t>
  </si>
  <si>
    <t>LEMI-018</t>
  </si>
  <si>
    <t>Var X/nT</t>
  </si>
  <si>
    <t>Var Y/nT</t>
  </si>
  <si>
    <t>CALCULATED</t>
  </si>
  <si>
    <t>(11)  Var. I/°  = atan(varZ/varH)</t>
  </si>
  <si>
    <t>Analysis of DI-Flux-Measrements  -  X - Y - Z</t>
  </si>
  <si>
    <r>
      <t>X</t>
    </r>
    <r>
      <rPr>
        <b/>
        <vertAlign val="subscript"/>
        <sz val="8"/>
        <rFont val="Arial"/>
        <family val="2"/>
      </rPr>
      <t>B</t>
    </r>
  </si>
  <si>
    <r>
      <t>Y</t>
    </r>
    <r>
      <rPr>
        <b/>
        <vertAlign val="subscript"/>
        <sz val="8"/>
        <rFont val="Arial"/>
        <family val="2"/>
      </rPr>
      <t>B</t>
    </r>
  </si>
  <si>
    <r>
      <t xml:space="preserve">     E</t>
    </r>
    <r>
      <rPr>
        <vertAlign val="subscript"/>
        <sz val="8"/>
        <rFont val="Arial"/>
        <family val="2"/>
      </rPr>
      <t>B</t>
    </r>
    <r>
      <rPr>
        <sz val="8"/>
        <rFont val="Arial"/>
        <family val="2"/>
      </rPr>
      <t xml:space="preserve"> =Eaps - E[1]</t>
    </r>
  </si>
  <si>
    <t>arcmin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</si>
</sst>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0000"/>
    <numFmt numFmtId="165" formatCode="0.000000"/>
    <numFmt numFmtId="166" formatCode="0.0"/>
    <numFmt numFmtId="167" formatCode="0.000"/>
    <numFmt numFmtId="168" formatCode="0.0000"/>
    <numFmt numFmtId="169" formatCode="0.0_ ;[Red]\-0.0\ "/>
    <numFmt numFmtId="170" formatCode="0.00_ ;[Red]\-0.00\ "/>
  </numFmts>
  <fonts count="2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vertAlign val="subscript"/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u/>
      <sz val="9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b/>
      <vertAlign val="subscript"/>
      <sz val="8"/>
      <name val="Arial"/>
      <family val="2"/>
    </font>
    <font>
      <b/>
      <sz val="8"/>
      <name val="Times New Roman"/>
      <family val="1"/>
    </font>
    <font>
      <b/>
      <vertAlign val="subscript"/>
      <sz val="8"/>
      <name val="Times New Roman"/>
      <family val="1"/>
    </font>
    <font>
      <b/>
      <sz val="12"/>
      <name val="Times New Roman"/>
      <family val="1"/>
    </font>
    <font>
      <sz val="8"/>
      <color indexed="10"/>
      <name val="Arial"/>
      <family val="2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8"/>
      <name val="Calibri"/>
      <family val="2"/>
      <charset val="238"/>
    </font>
    <font>
      <sz val="10"/>
      <name val="Calibri"/>
      <family val="2"/>
      <charset val="238"/>
    </font>
    <font>
      <sz val="8"/>
      <name val="Arial"/>
      <family val="2"/>
      <charset val="238"/>
    </font>
    <font>
      <sz val="9"/>
      <name val="Arial"/>
      <family val="2"/>
    </font>
    <font>
      <sz val="9"/>
      <name val="Calibri"/>
      <family val="2"/>
      <charset val="238"/>
    </font>
    <font>
      <sz val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69">
    <xf numFmtId="0" fontId="0" fillId="0" borderId="0" xfId="0"/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0" xfId="0" applyFont="1"/>
    <xf numFmtId="2" fontId="2" fillId="0" borderId="5" xfId="0" applyNumberFormat="1" applyFont="1" applyBorder="1" applyAlignment="1">
      <alignment horizontal="center"/>
    </xf>
    <xf numFmtId="2" fontId="0" fillId="0" borderId="0" xfId="0" applyNumberFormat="1"/>
    <xf numFmtId="49" fontId="2" fillId="0" borderId="6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1" fontId="2" fillId="0" borderId="7" xfId="0" applyNumberFormat="1" applyFont="1" applyBorder="1" applyAlignment="1">
      <alignment horizontal="center"/>
    </xf>
    <xf numFmtId="1" fontId="2" fillId="0" borderId="3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49" fontId="2" fillId="0" borderId="5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64" fontId="2" fillId="0" borderId="6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left"/>
    </xf>
    <xf numFmtId="164" fontId="2" fillId="0" borderId="0" xfId="0" applyNumberFormat="1" applyFont="1" applyBorder="1" applyAlignment="1">
      <alignment horizontal="center"/>
    </xf>
    <xf numFmtId="21" fontId="2" fillId="0" borderId="0" xfId="0" applyNumberFormat="1" applyFont="1"/>
    <xf numFmtId="0" fontId="2" fillId="0" borderId="0" xfId="0" quotePrefix="1" applyFont="1"/>
    <xf numFmtId="1" fontId="2" fillId="0" borderId="8" xfId="0" applyNumberFormat="1" applyFont="1" applyBorder="1" applyAlignment="1">
      <alignment horizontal="center"/>
    </xf>
    <xf numFmtId="164" fontId="2" fillId="0" borderId="9" xfId="0" applyNumberFormat="1" applyFont="1" applyBorder="1" applyAlignment="1">
      <alignment horizontal="center"/>
    </xf>
    <xf numFmtId="1" fontId="2" fillId="0" borderId="10" xfId="0" applyNumberFormat="1" applyFont="1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0" xfId="0" applyBorder="1"/>
    <xf numFmtId="0" fontId="4" fillId="0" borderId="5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11" xfId="0" applyFon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0" fontId="2" fillId="0" borderId="10" xfId="0" quotePrefix="1" applyNumberFormat="1" applyFont="1" applyBorder="1" applyAlignment="1">
      <alignment horizontal="center"/>
    </xf>
    <xf numFmtId="1" fontId="2" fillId="0" borderId="9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21" fontId="2" fillId="0" borderId="0" xfId="0" applyNumberFormat="1" applyFont="1" applyAlignment="1">
      <alignment horizontal="center"/>
    </xf>
    <xf numFmtId="0" fontId="2" fillId="0" borderId="7" xfId="0" applyFont="1" applyBorder="1"/>
    <xf numFmtId="164" fontId="2" fillId="0" borderId="3" xfId="0" applyNumberFormat="1" applyFont="1" applyBorder="1" applyAlignment="1">
      <alignment horizontal="center"/>
    </xf>
    <xf numFmtId="0" fontId="2" fillId="0" borderId="0" xfId="0" applyFont="1" applyBorder="1"/>
    <xf numFmtId="0" fontId="5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center"/>
    </xf>
    <xf numFmtId="14" fontId="4" fillId="0" borderId="0" xfId="0" applyNumberFormat="1" applyFont="1"/>
    <xf numFmtId="14" fontId="4" fillId="0" borderId="0" xfId="0" applyNumberFormat="1" applyFont="1" applyAlignment="1">
      <alignment horizontal="center"/>
    </xf>
    <xf numFmtId="21" fontId="4" fillId="0" borderId="0" xfId="0" applyNumberFormat="1" applyFont="1"/>
    <xf numFmtId="21" fontId="4" fillId="0" borderId="0" xfId="0" applyNumberFormat="1" applyFont="1" applyAlignment="1">
      <alignment horizontal="center"/>
    </xf>
    <xf numFmtId="0" fontId="5" fillId="0" borderId="0" xfId="0" applyFont="1"/>
    <xf numFmtId="1" fontId="2" fillId="0" borderId="12" xfId="0" applyNumberFormat="1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6" xfId="0" applyFont="1" applyBorder="1"/>
    <xf numFmtId="164" fontId="2" fillId="0" borderId="0" xfId="0" applyNumberFormat="1" applyFont="1" applyBorder="1" applyAlignment="1">
      <alignment horizontal="right"/>
    </xf>
    <xf numFmtId="1" fontId="2" fillId="0" borderId="0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left"/>
    </xf>
    <xf numFmtId="2" fontId="2" fillId="0" borderId="11" xfId="0" applyNumberFormat="1" applyFont="1" applyBorder="1" applyAlignment="1">
      <alignment horizontal="center"/>
    </xf>
    <xf numFmtId="49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/>
    <xf numFmtId="0" fontId="2" fillId="0" borderId="7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0" fillId="0" borderId="6" xfId="0" applyBorder="1"/>
    <xf numFmtId="2" fontId="2" fillId="0" borderId="0" xfId="0" applyNumberFormat="1" applyFont="1" applyAlignment="1">
      <alignment horizontal="center"/>
    </xf>
    <xf numFmtId="21" fontId="4" fillId="0" borderId="0" xfId="0" quotePrefix="1" applyNumberFormat="1" applyFont="1" applyAlignment="1">
      <alignment horizontal="center"/>
    </xf>
    <xf numFmtId="49" fontId="2" fillId="0" borderId="0" xfId="0" applyNumberFormat="1" applyFont="1"/>
    <xf numFmtId="49" fontId="2" fillId="0" borderId="0" xfId="0" applyNumberFormat="1" applyFont="1" applyAlignment="1">
      <alignment horizontal="center"/>
    </xf>
    <xf numFmtId="46" fontId="2" fillId="0" borderId="5" xfId="0" applyNumberFormat="1" applyFont="1" applyBorder="1" applyAlignment="1"/>
    <xf numFmtId="0" fontId="2" fillId="0" borderId="0" xfId="0" applyNumberFormat="1" applyFont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left"/>
    </xf>
    <xf numFmtId="0" fontId="2" fillId="0" borderId="7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12" xfId="0" applyFont="1" applyBorder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2" xfId="0" applyNumberFormat="1" applyFont="1" applyBorder="1" applyAlignment="1">
      <alignment horizontal="left"/>
    </xf>
    <xf numFmtId="0" fontId="2" fillId="0" borderId="10" xfId="0" applyFont="1" applyBorder="1" applyAlignment="1">
      <alignment vertical="center"/>
    </xf>
    <xf numFmtId="164" fontId="2" fillId="0" borderId="10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49" fontId="2" fillId="0" borderId="10" xfId="0" applyNumberFormat="1" applyFont="1" applyBorder="1" applyAlignment="1">
      <alignment horizontal="left" vertical="center"/>
    </xf>
    <xf numFmtId="0" fontId="2" fillId="0" borderId="9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1" fontId="2" fillId="0" borderId="0" xfId="0" applyNumberFormat="1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left" vertical="center"/>
    </xf>
    <xf numFmtId="164" fontId="2" fillId="0" borderId="0" xfId="0" applyNumberFormat="1" applyFont="1" applyBorder="1" applyAlignment="1">
      <alignment horizontal="right" vertical="center"/>
    </xf>
    <xf numFmtId="164" fontId="2" fillId="0" borderId="0" xfId="0" applyNumberFormat="1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right" vertical="center"/>
    </xf>
    <xf numFmtId="164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center" vertical="center"/>
    </xf>
    <xf numFmtId="1" fontId="2" fillId="0" borderId="7" xfId="0" applyNumberFormat="1" applyFont="1" applyBorder="1" applyAlignment="1">
      <alignment horizontal="center" vertical="center"/>
    </xf>
    <xf numFmtId="1" fontId="2" fillId="0" borderId="7" xfId="0" applyNumberFormat="1" applyFont="1" applyBorder="1" applyAlignment="1">
      <alignment horizontal="left" vertical="center"/>
    </xf>
    <xf numFmtId="164" fontId="2" fillId="0" borderId="7" xfId="0" applyNumberFormat="1" applyFont="1" applyBorder="1" applyAlignment="1">
      <alignment horizontal="right" vertical="center"/>
    </xf>
    <xf numFmtId="164" fontId="2" fillId="0" borderId="7" xfId="0" applyNumberFormat="1" applyFont="1" applyBorder="1" applyAlignment="1">
      <alignment horizontal="center" vertical="center"/>
    </xf>
    <xf numFmtId="1" fontId="2" fillId="0" borderId="7" xfId="0" applyNumberFormat="1" applyFont="1" applyBorder="1" applyAlignment="1">
      <alignment horizontal="right" vertical="center"/>
    </xf>
    <xf numFmtId="164" fontId="2" fillId="0" borderId="7" xfId="0" applyNumberFormat="1" applyFont="1" applyBorder="1" applyAlignment="1">
      <alignment horizontal="left" vertical="center"/>
    </xf>
    <xf numFmtId="0" fontId="2" fillId="0" borderId="7" xfId="0" applyFont="1" applyBorder="1" applyAlignment="1">
      <alignment horizontal="right" vertical="center"/>
    </xf>
    <xf numFmtId="164" fontId="2" fillId="0" borderId="3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9" xfId="0" applyBorder="1" applyAlignment="1">
      <alignment vertical="center"/>
    </xf>
    <xf numFmtId="1" fontId="2" fillId="0" borderId="14" xfId="0" applyNumberFormat="1" applyFont="1" applyBorder="1" applyAlignment="1">
      <alignment horizontal="center" vertical="center"/>
    </xf>
    <xf numFmtId="1" fontId="2" fillId="0" borderId="15" xfId="0" applyNumberFormat="1" applyFont="1" applyBorder="1" applyAlignment="1">
      <alignment horizontal="center" vertical="center"/>
    </xf>
    <xf numFmtId="1" fontId="2" fillId="0" borderId="15" xfId="0" applyNumberFormat="1" applyFont="1" applyBorder="1" applyAlignment="1">
      <alignment horizontal="left" vertical="center"/>
    </xf>
    <xf numFmtId="1" fontId="2" fillId="0" borderId="15" xfId="0" applyNumberFormat="1" applyFont="1" applyBorder="1" applyAlignment="1">
      <alignment horizontal="right" vertical="center"/>
    </xf>
    <xf numFmtId="164" fontId="2" fillId="0" borderId="15" xfId="0" applyNumberFormat="1" applyFont="1" applyBorder="1" applyAlignment="1">
      <alignment horizontal="center" vertical="center"/>
    </xf>
    <xf numFmtId="164" fontId="2" fillId="0" borderId="15" xfId="0" applyNumberFormat="1" applyFont="1" applyBorder="1" applyAlignment="1">
      <alignment horizontal="left" vertical="center"/>
    </xf>
    <xf numFmtId="0" fontId="2" fillId="0" borderId="15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0" fontId="2" fillId="0" borderId="10" xfId="0" applyNumberFormat="1" applyFont="1" applyBorder="1" applyAlignment="1">
      <alignment horizontal="left" vertical="center"/>
    </xf>
    <xf numFmtId="0" fontId="2" fillId="0" borderId="10" xfId="0" applyNumberFormat="1" applyFont="1" applyBorder="1" applyAlignment="1">
      <alignment horizontal="center" vertical="center"/>
    </xf>
    <xf numFmtId="0" fontId="2" fillId="0" borderId="9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2" fontId="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quotePrefix="1" applyFont="1" applyBorder="1"/>
    <xf numFmtId="0" fontId="6" fillId="0" borderId="0" xfId="0" applyFont="1" applyBorder="1"/>
    <xf numFmtId="0" fontId="2" fillId="0" borderId="15" xfId="0" applyFont="1" applyBorder="1"/>
    <xf numFmtId="0" fontId="2" fillId="0" borderId="8" xfId="0" applyFont="1" applyBorder="1"/>
    <xf numFmtId="0" fontId="2" fillId="0" borderId="14" xfId="0" applyFont="1" applyBorder="1"/>
    <xf numFmtId="1" fontId="2" fillId="0" borderId="15" xfId="0" applyNumberFormat="1" applyFont="1" applyBorder="1" applyAlignment="1">
      <alignment horizontal="center"/>
    </xf>
    <xf numFmtId="164" fontId="2" fillId="0" borderId="1" xfId="0" applyNumberFormat="1" applyFont="1" applyBorder="1"/>
    <xf numFmtId="0" fontId="2" fillId="0" borderId="8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8" xfId="0" applyFont="1" applyBorder="1" applyAlignment="1">
      <alignment horizontal="center"/>
    </xf>
    <xf numFmtId="49" fontId="2" fillId="0" borderId="7" xfId="0" applyNumberFormat="1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49" fontId="2" fillId="0" borderId="8" xfId="0" applyNumberFormat="1" applyFont="1" applyBorder="1" applyAlignment="1">
      <alignment horizontal="center"/>
    </xf>
    <xf numFmtId="49" fontId="2" fillId="0" borderId="10" xfId="0" applyNumberFormat="1" applyFont="1" applyBorder="1" applyAlignment="1">
      <alignment horizontal="left"/>
    </xf>
    <xf numFmtId="0" fontId="2" fillId="0" borderId="15" xfId="0" applyFont="1" applyBorder="1" applyAlignment="1">
      <alignment horizontal="center"/>
    </xf>
    <xf numFmtId="49" fontId="2" fillId="0" borderId="9" xfId="0" applyNumberFormat="1" applyFont="1" applyBorder="1" applyAlignment="1">
      <alignment horizontal="left"/>
    </xf>
    <xf numFmtId="49" fontId="2" fillId="0" borderId="7" xfId="0" quotePrefix="1" applyNumberFormat="1" applyFont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6" fillId="0" borderId="12" xfId="0" applyFont="1" applyBorder="1"/>
    <xf numFmtId="0" fontId="4" fillId="0" borderId="0" xfId="0" applyFont="1" applyBorder="1" applyAlignment="1">
      <alignment horizontal="center"/>
    </xf>
    <xf numFmtId="21" fontId="4" fillId="0" borderId="0" xfId="0" applyNumberFormat="1" applyFont="1" applyBorder="1" applyAlignment="1">
      <alignment horizontal="center"/>
    </xf>
    <xf numFmtId="21" fontId="4" fillId="0" borderId="2" xfId="0" applyNumberFormat="1" applyFont="1" applyBorder="1" applyAlignment="1">
      <alignment horizontal="center"/>
    </xf>
    <xf numFmtId="21" fontId="4" fillId="0" borderId="0" xfId="0" quotePrefix="1" applyNumberFormat="1" applyFont="1" applyBorder="1" applyAlignment="1">
      <alignment horizontal="center"/>
    </xf>
    <xf numFmtId="0" fontId="6" fillId="0" borderId="7" xfId="0" applyFont="1" applyBorder="1"/>
    <xf numFmtId="0" fontId="4" fillId="0" borderId="7" xfId="0" applyFont="1" applyBorder="1" applyAlignment="1">
      <alignment horizontal="center"/>
    </xf>
    <xf numFmtId="21" fontId="4" fillId="0" borderId="7" xfId="0" quotePrefix="1" applyNumberFormat="1" applyFont="1" applyBorder="1" applyAlignment="1">
      <alignment horizontal="center"/>
    </xf>
    <xf numFmtId="21" fontId="4" fillId="0" borderId="7" xfId="0" applyNumberFormat="1" applyFont="1" applyBorder="1" applyAlignment="1">
      <alignment horizontal="center"/>
    </xf>
    <xf numFmtId="0" fontId="2" fillId="0" borderId="12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6" fillId="0" borderId="2" xfId="0" applyFont="1" applyBorder="1"/>
    <xf numFmtId="0" fontId="4" fillId="0" borderId="2" xfId="0" applyFont="1" applyBorder="1" applyAlignment="1">
      <alignment horizontal="center"/>
    </xf>
    <xf numFmtId="0" fontId="6" fillId="0" borderId="7" xfId="0" applyFont="1" applyBorder="1" applyAlignment="1">
      <alignment horizontal="right"/>
    </xf>
    <xf numFmtId="164" fontId="2" fillId="0" borderId="7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7" xfId="0" quotePrefix="1" applyFont="1" applyBorder="1" applyAlignment="1">
      <alignment horizontal="center"/>
    </xf>
    <xf numFmtId="1" fontId="2" fillId="0" borderId="12" xfId="0" applyNumberFormat="1" applyFont="1" applyBorder="1" applyAlignment="1"/>
    <xf numFmtId="1" fontId="2" fillId="0" borderId="8" xfId="0" applyNumberFormat="1" applyFont="1" applyBorder="1" applyAlignment="1"/>
    <xf numFmtId="1" fontId="2" fillId="0" borderId="2" xfId="0" applyNumberFormat="1" applyFont="1" applyBorder="1" applyAlignment="1"/>
    <xf numFmtId="1" fontId="2" fillId="0" borderId="3" xfId="0" applyNumberFormat="1" applyFont="1" applyBorder="1" applyAlignment="1"/>
    <xf numFmtId="1" fontId="2" fillId="0" borderId="0" xfId="0" applyNumberFormat="1" applyFont="1" applyBorder="1" applyAlignment="1"/>
    <xf numFmtId="1" fontId="2" fillId="0" borderId="7" xfId="0" applyNumberFormat="1" applyFont="1" applyBorder="1" applyAlignment="1"/>
    <xf numFmtId="0" fontId="4" fillId="0" borderId="14" xfId="0" applyFont="1" applyBorder="1"/>
    <xf numFmtId="0" fontId="4" fillId="0" borderId="15" xfId="0" applyFont="1" applyBorder="1"/>
    <xf numFmtId="0" fontId="4" fillId="0" borderId="1" xfId="0" applyFont="1" applyBorder="1" applyAlignment="1">
      <alignment horizontal="center"/>
    </xf>
    <xf numFmtId="0" fontId="4" fillId="0" borderId="12" xfId="0" applyFont="1" applyBorder="1"/>
    <xf numFmtId="0" fontId="4" fillId="0" borderId="0" xfId="0" applyFont="1" applyBorder="1"/>
    <xf numFmtId="14" fontId="4" fillId="0" borderId="0" xfId="0" applyNumberFormat="1" applyFont="1" applyBorder="1"/>
    <xf numFmtId="14" fontId="4" fillId="0" borderId="2" xfId="0" applyNumberFormat="1" applyFont="1" applyBorder="1" applyAlignment="1">
      <alignment horizontal="center"/>
    </xf>
    <xf numFmtId="21" fontId="4" fillId="0" borderId="0" xfId="0" applyNumberFormat="1" applyFont="1" applyBorder="1"/>
    <xf numFmtId="21" fontId="2" fillId="0" borderId="0" xfId="0" applyNumberFormat="1" applyFont="1" applyBorder="1"/>
    <xf numFmtId="21" fontId="2" fillId="0" borderId="7" xfId="0" applyNumberFormat="1" applyFont="1" applyBorder="1"/>
    <xf numFmtId="0" fontId="2" fillId="0" borderId="3" xfId="0" applyFont="1" applyBorder="1"/>
    <xf numFmtId="0" fontId="4" fillId="0" borderId="15" xfId="0" applyFont="1" applyBorder="1" applyAlignment="1">
      <alignment horizontal="center"/>
    </xf>
    <xf numFmtId="14" fontId="4" fillId="0" borderId="0" xfId="0" applyNumberFormat="1" applyFont="1" applyBorder="1" applyAlignment="1">
      <alignment horizontal="center"/>
    </xf>
    <xf numFmtId="0" fontId="0" fillId="0" borderId="3" xfId="0" applyBorder="1" applyAlignment="1">
      <alignment horizontal="left"/>
    </xf>
    <xf numFmtId="49" fontId="2" fillId="0" borderId="13" xfId="0" applyNumberFormat="1" applyFont="1" applyBorder="1" applyAlignment="1">
      <alignment horizontal="left" vertical="center"/>
    </xf>
    <xf numFmtId="49" fontId="2" fillId="0" borderId="0" xfId="0" applyNumberFormat="1" applyFont="1" applyBorder="1" applyAlignment="1">
      <alignment horizontal="left" vertical="center"/>
    </xf>
    <xf numFmtId="46" fontId="2" fillId="0" borderId="5" xfId="0" applyNumberFormat="1" applyFont="1" applyBorder="1" applyAlignment="1">
      <alignment horizontal="center"/>
    </xf>
    <xf numFmtId="0" fontId="2" fillId="0" borderId="13" xfId="0" applyFont="1" applyBorder="1" applyAlignment="1">
      <alignment vertical="center"/>
    </xf>
    <xf numFmtId="0" fontId="2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2" fillId="0" borderId="0" xfId="0" applyNumberFormat="1" applyFont="1" applyBorder="1" applyAlignment="1">
      <alignment vertical="center"/>
    </xf>
    <xf numFmtId="168" fontId="2" fillId="0" borderId="0" xfId="0" applyNumberFormat="1" applyFont="1" applyAlignment="1">
      <alignment horizontal="center"/>
    </xf>
    <xf numFmtId="168" fontId="2" fillId="0" borderId="2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12" xfId="0" applyNumberFormat="1" applyFont="1" applyBorder="1" applyAlignment="1">
      <alignment horizontal="center"/>
    </xf>
    <xf numFmtId="49" fontId="2" fillId="0" borderId="13" xfId="0" applyNumberFormat="1" applyFont="1" applyBorder="1" applyAlignment="1">
      <alignment horizontal="center"/>
    </xf>
    <xf numFmtId="167" fontId="2" fillId="0" borderId="2" xfId="0" applyNumberFormat="1" applyFont="1" applyBorder="1" applyAlignment="1">
      <alignment horizontal="center"/>
    </xf>
    <xf numFmtId="167" fontId="2" fillId="0" borderId="3" xfId="0" applyNumberFormat="1" applyFont="1" applyBorder="1" applyAlignment="1">
      <alignment horizontal="center"/>
    </xf>
    <xf numFmtId="0" fontId="2" fillId="0" borderId="11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1" xfId="0" applyBorder="1" applyAlignment="1">
      <alignment horizontal="left" shrinkToFit="1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2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 vertical="center"/>
    </xf>
    <xf numFmtId="0" fontId="2" fillId="0" borderId="11" xfId="0" applyFont="1" applyBorder="1" applyAlignment="1">
      <alignment vertical="center"/>
    </xf>
    <xf numFmtId="14" fontId="0" fillId="0" borderId="0" xfId="0" applyNumberFormat="1"/>
    <xf numFmtId="0" fontId="0" fillId="0" borderId="0" xfId="0" applyNumberFormat="1"/>
    <xf numFmtId="46" fontId="2" fillId="0" borderId="6" xfId="0" applyNumberFormat="1" applyFont="1" applyBorder="1" applyAlignment="1"/>
    <xf numFmtId="166" fontId="0" fillId="0" borderId="0" xfId="0" applyNumberFormat="1"/>
    <xf numFmtId="46" fontId="2" fillId="0" borderId="11" xfId="0" applyNumberFormat="1" applyFont="1" applyBorder="1" applyAlignment="1">
      <alignment horizontal="center"/>
    </xf>
    <xf numFmtId="46" fontId="4" fillId="0" borderId="6" xfId="0" applyNumberFormat="1" applyFont="1" applyBorder="1" applyAlignment="1">
      <alignment horizontal="center" vertical="center"/>
    </xf>
    <xf numFmtId="0" fontId="2" fillId="0" borderId="5" xfId="0" applyFont="1" applyBorder="1"/>
    <xf numFmtId="0" fontId="4" fillId="0" borderId="14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17" fontId="0" fillId="0" borderId="0" xfId="0" applyNumberFormat="1"/>
    <xf numFmtId="16" fontId="0" fillId="0" borderId="0" xfId="0" applyNumberFormat="1"/>
    <xf numFmtId="2" fontId="4" fillId="0" borderId="6" xfId="0" applyNumberFormat="1" applyFont="1" applyBorder="1" applyAlignment="1">
      <alignment horizontal="center" vertical="center"/>
    </xf>
    <xf numFmtId="166" fontId="4" fillId="0" borderId="8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/>
    </xf>
    <xf numFmtId="2" fontId="4" fillId="0" borderId="3" xfId="0" applyNumberFormat="1" applyFont="1" applyBorder="1" applyAlignment="1">
      <alignment horizontal="center" vertical="center"/>
    </xf>
    <xf numFmtId="1" fontId="4" fillId="0" borderId="0" xfId="0" quotePrefix="1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horizontal="right" vertical="center"/>
    </xf>
    <xf numFmtId="0" fontId="0" fillId="0" borderId="10" xfId="0" applyBorder="1"/>
    <xf numFmtId="0" fontId="14" fillId="0" borderId="3" xfId="0" applyFont="1" applyBorder="1" applyAlignment="1">
      <alignment horizontal="left"/>
    </xf>
    <xf numFmtId="49" fontId="2" fillId="0" borderId="8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2" fontId="4" fillId="0" borderId="8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left"/>
    </xf>
    <xf numFmtId="1" fontId="4" fillId="0" borderId="5" xfId="0" applyNumberFormat="1" applyFont="1" applyBorder="1" applyAlignment="1">
      <alignment horizontal="left"/>
    </xf>
    <xf numFmtId="21" fontId="4" fillId="0" borderId="8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0" fontId="2" fillId="0" borderId="11" xfId="0" applyNumberFormat="1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164" fontId="2" fillId="0" borderId="2" xfId="0" applyNumberFormat="1" applyFont="1" applyBorder="1" applyAlignment="1">
      <alignment horizontal="center" vertical="center"/>
    </xf>
    <xf numFmtId="168" fontId="2" fillId="0" borderId="7" xfId="0" applyNumberFormat="1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0" fillId="0" borderId="2" xfId="0" applyBorder="1" applyAlignment="1">
      <alignment horizontal="center"/>
    </xf>
    <xf numFmtId="46" fontId="2" fillId="0" borderId="6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169" fontId="2" fillId="0" borderId="12" xfId="0" applyNumberFormat="1" applyFont="1" applyBorder="1" applyAlignment="1">
      <alignment horizontal="center"/>
    </xf>
    <xf numFmtId="164" fontId="2" fillId="0" borderId="7" xfId="0" applyNumberFormat="1" applyFont="1" applyBorder="1" applyAlignment="1">
      <alignment vertical="center"/>
    </xf>
    <xf numFmtId="2" fontId="4" fillId="0" borderId="8" xfId="0" applyNumberFormat="1" applyFont="1" applyBorder="1" applyAlignment="1">
      <alignment horizontal="center" vertical="center"/>
    </xf>
    <xf numFmtId="167" fontId="2" fillId="0" borderId="0" xfId="0" applyNumberFormat="1" applyFont="1"/>
    <xf numFmtId="167" fontId="2" fillId="0" borderId="7" xfId="0" applyNumberFormat="1" applyFont="1" applyBorder="1"/>
    <xf numFmtId="167" fontId="2" fillId="0" borderId="13" xfId="0" applyNumberFormat="1" applyFont="1" applyBorder="1" applyAlignment="1">
      <alignment horizontal="center"/>
    </xf>
    <xf numFmtId="167" fontId="2" fillId="0" borderId="9" xfId="0" applyNumberFormat="1" applyFont="1" applyBorder="1" applyAlignment="1">
      <alignment horizontal="center"/>
    </xf>
    <xf numFmtId="167" fontId="2" fillId="0" borderId="11" xfId="0" applyNumberFormat="1" applyFont="1" applyBorder="1" applyAlignment="1">
      <alignment horizontal="center"/>
    </xf>
    <xf numFmtId="167" fontId="2" fillId="0" borderId="12" xfId="0" applyNumberFormat="1" applyFont="1" applyBorder="1" applyAlignment="1">
      <alignment horizontal="center"/>
    </xf>
    <xf numFmtId="167" fontId="2" fillId="0" borderId="5" xfId="0" applyNumberFormat="1" applyFont="1" applyBorder="1" applyAlignment="1">
      <alignment horizontal="center"/>
    </xf>
    <xf numFmtId="167" fontId="2" fillId="0" borderId="8" xfId="0" applyNumberFormat="1" applyFont="1" applyBorder="1" applyAlignment="1">
      <alignment horizontal="center"/>
    </xf>
    <xf numFmtId="165" fontId="2" fillId="0" borderId="14" xfId="0" applyNumberFormat="1" applyFont="1" applyBorder="1" applyAlignment="1">
      <alignment horizontal="right"/>
    </xf>
    <xf numFmtId="1" fontId="2" fillId="0" borderId="8" xfId="0" applyNumberFormat="1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1" xfId="0" applyNumberFormat="1" applyBorder="1" applyAlignment="1">
      <alignment horizontal="center" vertical="center"/>
    </xf>
    <xf numFmtId="2" fontId="0" fillId="0" borderId="5" xfId="0" applyNumberFormat="1" applyBorder="1"/>
    <xf numFmtId="21" fontId="0" fillId="0" borderId="5" xfId="0" applyNumberFormat="1" applyBorder="1"/>
    <xf numFmtId="0" fontId="0" fillId="0" borderId="5" xfId="0" applyNumberFormat="1" applyBorder="1"/>
    <xf numFmtId="14" fontId="0" fillId="0" borderId="5" xfId="0" applyNumberFormat="1" applyBorder="1"/>
    <xf numFmtId="21" fontId="0" fillId="0" borderId="6" xfId="0" applyNumberFormat="1" applyBorder="1"/>
    <xf numFmtId="14" fontId="0" fillId="0" borderId="6" xfId="0" applyNumberFormat="1" applyBorder="1"/>
    <xf numFmtId="14" fontId="0" fillId="2" borderId="11" xfId="0" applyNumberFormat="1" applyFill="1" applyBorder="1"/>
    <xf numFmtId="21" fontId="0" fillId="2" borderId="11" xfId="0" applyNumberFormat="1" applyFill="1" applyBorder="1"/>
    <xf numFmtId="167" fontId="0" fillId="2" borderId="11" xfId="0" applyNumberFormat="1" applyFill="1" applyBorder="1"/>
    <xf numFmtId="2" fontId="0" fillId="2" borderId="11" xfId="0" applyNumberFormat="1" applyFill="1" applyBorder="1"/>
    <xf numFmtId="0" fontId="0" fillId="2" borderId="11" xfId="0" applyFill="1" applyBorder="1"/>
    <xf numFmtId="0" fontId="17" fillId="0" borderId="0" xfId="0" applyFont="1" applyBorder="1" applyAlignment="1">
      <alignment vertical="center"/>
    </xf>
    <xf numFmtId="0" fontId="15" fillId="0" borderId="4" xfId="0" applyFont="1" applyBorder="1" applyAlignment="1">
      <alignment horizontal="center"/>
    </xf>
    <xf numFmtId="0" fontId="15" fillId="0" borderId="11" xfId="0" applyFont="1" applyBorder="1" applyAlignment="1">
      <alignment horizontal="center" vertical="center"/>
    </xf>
    <xf numFmtId="14" fontId="15" fillId="0" borderId="5" xfId="0" applyNumberFormat="1" applyFont="1" applyBorder="1"/>
    <xf numFmtId="14" fontId="15" fillId="0" borderId="6" xfId="0" applyNumberFormat="1" applyFont="1" applyBorder="1"/>
    <xf numFmtId="21" fontId="0" fillId="0" borderId="4" xfId="0" applyNumberFormat="1" applyBorder="1"/>
    <xf numFmtId="0" fontId="6" fillId="0" borderId="14" xfId="0" applyFont="1" applyBorder="1"/>
    <xf numFmtId="0" fontId="6" fillId="0" borderId="15" xfId="0" applyFont="1" applyBorder="1"/>
    <xf numFmtId="21" fontId="4" fillId="0" borderId="15" xfId="0" quotePrefix="1" applyNumberFormat="1" applyFont="1" applyBorder="1" applyAlignment="1">
      <alignment horizontal="center"/>
    </xf>
    <xf numFmtId="21" fontId="4" fillId="0" borderId="1" xfId="0" applyNumberFormat="1" applyFont="1" applyBorder="1" applyAlignment="1">
      <alignment horizontal="center"/>
    </xf>
    <xf numFmtId="168" fontId="2" fillId="0" borderId="0" xfId="0" applyNumberFormat="1" applyFont="1"/>
    <xf numFmtId="168" fontId="2" fillId="0" borderId="5" xfId="0" applyNumberFormat="1" applyFont="1" applyBorder="1" applyAlignment="1">
      <alignment horizontal="center"/>
    </xf>
    <xf numFmtId="168" fontId="2" fillId="0" borderId="6" xfId="0" applyNumberFormat="1" applyFont="1" applyBorder="1" applyAlignment="1">
      <alignment horizontal="center"/>
    </xf>
    <xf numFmtId="168" fontId="2" fillId="0" borderId="11" xfId="0" applyNumberFormat="1" applyFont="1" applyBorder="1" applyAlignment="1">
      <alignment horizontal="center"/>
    </xf>
    <xf numFmtId="170" fontId="2" fillId="0" borderId="11" xfId="0" applyNumberFormat="1" applyFont="1" applyBorder="1" applyAlignment="1">
      <alignment horizontal="center"/>
    </xf>
    <xf numFmtId="170" fontId="2" fillId="0" borderId="12" xfId="0" applyNumberFormat="1" applyFont="1" applyBorder="1" applyAlignment="1">
      <alignment horizontal="center"/>
    </xf>
    <xf numFmtId="170" fontId="2" fillId="0" borderId="8" xfId="0" applyNumberFormat="1" applyFon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170" fontId="0" fillId="0" borderId="2" xfId="0" applyNumberFormat="1" applyBorder="1" applyAlignment="1">
      <alignment horizontal="center"/>
    </xf>
    <xf numFmtId="167" fontId="2" fillId="0" borderId="10" xfId="0" applyNumberFormat="1" applyFont="1" applyBorder="1" applyAlignment="1">
      <alignment horizontal="center"/>
    </xf>
    <xf numFmtId="167" fontId="2" fillId="0" borderId="0" xfId="0" applyNumberFormat="1" applyFont="1" applyBorder="1" applyAlignment="1">
      <alignment horizontal="center"/>
    </xf>
    <xf numFmtId="167" fontId="2" fillId="0" borderId="7" xfId="0" applyNumberFormat="1" applyFont="1" applyBorder="1" applyAlignment="1">
      <alignment horizontal="center"/>
    </xf>
    <xf numFmtId="167" fontId="2" fillId="0" borderId="6" xfId="0" applyNumberFormat="1" applyFont="1" applyBorder="1" applyAlignment="1">
      <alignment horizontal="center"/>
    </xf>
    <xf numFmtId="0" fontId="2" fillId="0" borderId="13" xfId="0" applyNumberFormat="1" applyFont="1" applyBorder="1" applyAlignment="1">
      <alignment horizontal="left" vertical="center"/>
    </xf>
    <xf numFmtId="167" fontId="2" fillId="0" borderId="7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0" fillId="0" borderId="15" xfId="0" applyBorder="1" applyAlignment="1">
      <alignment vertical="center"/>
    </xf>
    <xf numFmtId="0" fontId="5" fillId="0" borderId="0" xfId="0" applyFont="1" applyBorder="1" applyAlignment="1">
      <alignment horizontal="left"/>
    </xf>
    <xf numFmtId="0" fontId="5" fillId="0" borderId="0" xfId="0" applyFont="1" applyBorder="1"/>
    <xf numFmtId="0" fontId="2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49" fontId="2" fillId="0" borderId="0" xfId="0" quotePrefix="1" applyNumberFormat="1" applyFont="1" applyBorder="1" applyAlignment="1">
      <alignment horizontal="center"/>
    </xf>
    <xf numFmtId="46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left"/>
    </xf>
    <xf numFmtId="0" fontId="2" fillId="0" borderId="0" xfId="0" quotePrefix="1" applyNumberFormat="1" applyFont="1" applyBorder="1" applyAlignment="1">
      <alignment horizontal="center"/>
    </xf>
    <xf numFmtId="168" fontId="2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64" fontId="2" fillId="0" borderId="0" xfId="0" applyNumberFormat="1" applyFont="1" applyBorder="1" applyAlignment="1">
      <alignment vertical="center"/>
    </xf>
    <xf numFmtId="168" fontId="2" fillId="0" borderId="13" xfId="0" applyNumberFormat="1" applyFont="1" applyBorder="1" applyAlignment="1">
      <alignment horizontal="center"/>
    </xf>
    <xf numFmtId="168" fontId="2" fillId="0" borderId="12" xfId="0" applyNumberFormat="1" applyFont="1" applyBorder="1" applyAlignment="1">
      <alignment horizontal="center"/>
    </xf>
    <xf numFmtId="168" fontId="2" fillId="0" borderId="8" xfId="0" applyNumberFormat="1" applyFont="1" applyBorder="1" applyAlignment="1">
      <alignment horizontal="center"/>
    </xf>
    <xf numFmtId="0" fontId="0" fillId="0" borderId="9" xfId="0" applyBorder="1"/>
    <xf numFmtId="0" fontId="2" fillId="0" borderId="7" xfId="0" applyFont="1" applyBorder="1" applyAlignment="1">
      <alignment horizontal="right"/>
    </xf>
    <xf numFmtId="168" fontId="2" fillId="0" borderId="7" xfId="0" applyNumberFormat="1" applyFont="1" applyBorder="1" applyAlignment="1">
      <alignment horizontal="left" vertical="center"/>
    </xf>
    <xf numFmtId="168" fontId="2" fillId="0" borderId="7" xfId="0" applyNumberFormat="1" applyFont="1" applyBorder="1"/>
    <xf numFmtId="168" fontId="2" fillId="0" borderId="3" xfId="0" applyNumberFormat="1" applyFont="1" applyBorder="1" applyAlignment="1">
      <alignment horizontal="center" vertical="center"/>
    </xf>
    <xf numFmtId="0" fontId="15" fillId="0" borderId="0" xfId="0" applyFont="1" applyAlignment="1">
      <alignment horizontal="right"/>
    </xf>
    <xf numFmtId="164" fontId="21" fillId="0" borderId="0" xfId="0" applyNumberFormat="1" applyFont="1" applyBorder="1" applyAlignment="1">
      <alignment horizontal="right" vertical="center"/>
    </xf>
    <xf numFmtId="2" fontId="20" fillId="0" borderId="0" xfId="0" applyNumberFormat="1" applyFont="1" applyAlignment="1">
      <alignment horizontal="left"/>
    </xf>
    <xf numFmtId="2" fontId="2" fillId="0" borderId="0" xfId="0" applyNumberFormat="1" applyFont="1" applyBorder="1" applyAlignment="1">
      <alignment horizontal="left" vertical="center"/>
    </xf>
    <xf numFmtId="2" fontId="2" fillId="0" borderId="0" xfId="0" applyNumberFormat="1" applyFont="1" applyBorder="1" applyAlignment="1">
      <alignment vertical="center"/>
    </xf>
    <xf numFmtId="167" fontId="20" fillId="0" borderId="0" xfId="0" applyNumberFormat="1" applyFont="1"/>
    <xf numFmtId="0" fontId="2" fillId="0" borderId="13" xfId="0" applyFont="1" applyBorder="1" applyAlignment="1">
      <alignment horizontal="right" vertical="center"/>
    </xf>
    <xf numFmtId="167" fontId="20" fillId="0" borderId="9" xfId="0" applyNumberFormat="1" applyFont="1" applyBorder="1" applyAlignment="1">
      <alignment horizontal="left" vertical="center"/>
    </xf>
    <xf numFmtId="167" fontId="20" fillId="0" borderId="0" xfId="0" applyNumberFormat="1" applyFont="1" applyBorder="1"/>
    <xf numFmtId="14" fontId="0" fillId="0" borderId="12" xfId="0" applyNumberFormat="1" applyBorder="1"/>
    <xf numFmtId="0" fontId="0" fillId="3" borderId="0" xfId="0" applyFill="1" applyAlignment="1">
      <alignment horizontal="left"/>
    </xf>
    <xf numFmtId="0" fontId="0" fillId="0" borderId="0" xfId="0" applyFill="1" applyAlignment="1">
      <alignment horizontal="left"/>
    </xf>
    <xf numFmtId="0" fontId="2" fillId="3" borderId="11" xfId="0" applyFont="1" applyFill="1" applyBorder="1" applyAlignment="1">
      <alignment horizontal="right"/>
    </xf>
    <xf numFmtId="0" fontId="2" fillId="3" borderId="11" xfId="0" applyFont="1" applyFill="1" applyBorder="1" applyAlignment="1">
      <alignment horizontal="center"/>
    </xf>
    <xf numFmtId="1" fontId="2" fillId="3" borderId="11" xfId="0" applyNumberFormat="1" applyFont="1" applyFill="1" applyBorder="1" applyAlignment="1"/>
    <xf numFmtId="14" fontId="0" fillId="3" borderId="11" xfId="0" applyNumberFormat="1" applyFill="1" applyBorder="1"/>
    <xf numFmtId="21" fontId="0" fillId="3" borderId="11" xfId="0" applyNumberFormat="1" applyFill="1" applyBorder="1"/>
    <xf numFmtId="1" fontId="2" fillId="3" borderId="11" xfId="0" applyNumberFormat="1" applyFont="1" applyFill="1" applyBorder="1" applyAlignment="1">
      <alignment horizontal="center"/>
    </xf>
    <xf numFmtId="0" fontId="14" fillId="3" borderId="3" xfId="0" applyFont="1" applyFill="1" applyBorder="1" applyAlignment="1">
      <alignment horizontal="left"/>
    </xf>
    <xf numFmtId="167" fontId="0" fillId="3" borderId="11" xfId="0" applyNumberFormat="1" applyFill="1" applyBorder="1"/>
    <xf numFmtId="167" fontId="0" fillId="0" borderId="5" xfId="0" applyNumberFormat="1" applyBorder="1"/>
    <xf numFmtId="168" fontId="0" fillId="3" borderId="11" xfId="0" applyNumberFormat="1" applyFill="1" applyBorder="1"/>
    <xf numFmtId="168" fontId="0" fillId="0" borderId="5" xfId="0" applyNumberFormat="1" applyBorder="1"/>
    <xf numFmtId="168" fontId="0" fillId="2" borderId="11" xfId="0" applyNumberFormat="1" applyFill="1" applyBorder="1"/>
    <xf numFmtId="2" fontId="0" fillId="3" borderId="11" xfId="0" applyNumberFormat="1" applyFill="1" applyBorder="1"/>
    <xf numFmtId="0" fontId="23" fillId="0" borderId="0" xfId="0" applyFont="1" applyAlignment="1">
      <alignment horizontal="right"/>
    </xf>
    <xf numFmtId="49" fontId="2" fillId="0" borderId="0" xfId="0" applyNumberFormat="1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2" fontId="2" fillId="0" borderId="12" xfId="0" applyNumberFormat="1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49" fontId="2" fillId="0" borderId="8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4" borderId="0" xfId="0" applyFill="1" applyAlignment="1">
      <alignment horizontal="left"/>
    </xf>
    <xf numFmtId="0" fontId="2" fillId="4" borderId="11" xfId="0" applyFont="1" applyFill="1" applyBorder="1" applyAlignment="1">
      <alignment horizontal="right"/>
    </xf>
    <xf numFmtId="0" fontId="2" fillId="4" borderId="11" xfId="0" applyFont="1" applyFill="1" applyBorder="1" applyAlignment="1">
      <alignment horizontal="center"/>
    </xf>
    <xf numFmtId="1" fontId="2" fillId="4" borderId="11" xfId="0" applyNumberFormat="1" applyFont="1" applyFill="1" applyBorder="1" applyAlignment="1"/>
    <xf numFmtId="14" fontId="15" fillId="0" borderId="12" xfId="0" applyNumberFormat="1" applyFont="1" applyBorder="1"/>
    <xf numFmtId="0" fontId="0" fillId="0" borderId="4" xfId="0" applyNumberFormat="1" applyBorder="1" applyAlignment="1">
      <alignment horizontal="center" vertical="center"/>
    </xf>
    <xf numFmtId="14" fontId="15" fillId="0" borderId="8" xfId="0" applyNumberFormat="1" applyFont="1" applyBorder="1"/>
    <xf numFmtId="14" fontId="0" fillId="2" borderId="13" xfId="0" applyNumberFormat="1" applyFill="1" applyBorder="1"/>
    <xf numFmtId="21" fontId="0" fillId="0" borderId="4" xfId="0" applyNumberFormat="1" applyFill="1" applyBorder="1"/>
    <xf numFmtId="21" fontId="0" fillId="0" borderId="5" xfId="0" applyNumberFormat="1" applyFill="1" applyBorder="1"/>
    <xf numFmtId="0" fontId="0" fillId="0" borderId="5" xfId="0" applyFill="1" applyBorder="1"/>
    <xf numFmtId="2" fontId="0" fillId="3" borderId="9" xfId="0" applyNumberFormat="1" applyFill="1" applyBorder="1"/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0" fillId="0" borderId="2" xfId="0" applyBorder="1" applyAlignment="1">
      <alignment horizontal="center"/>
    </xf>
    <xf numFmtId="2" fontId="2" fillId="0" borderId="12" xfId="0" applyNumberFormat="1" applyFont="1" applyBorder="1" applyAlignment="1">
      <alignment horizontal="center"/>
    </xf>
    <xf numFmtId="170" fontId="2" fillId="0" borderId="12" xfId="0" applyNumberFormat="1" applyFont="1" applyBorder="1" applyAlignment="1">
      <alignment horizontal="center"/>
    </xf>
    <xf numFmtId="170" fontId="0" fillId="0" borderId="2" xfId="0" applyNumberForma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170" fontId="2" fillId="0" borderId="8" xfId="0" applyNumberFormat="1" applyFont="1" applyBorder="1" applyAlignment="1">
      <alignment horizontal="center"/>
    </xf>
    <xf numFmtId="49" fontId="2" fillId="0" borderId="8" xfId="0" applyNumberFormat="1" applyFont="1" applyBorder="1" applyAlignment="1">
      <alignment horizontal="center"/>
    </xf>
    <xf numFmtId="2" fontId="2" fillId="0" borderId="8" xfId="0" applyNumberFormat="1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0" fillId="0" borderId="2" xfId="0" applyNumberFormat="1" applyBorder="1"/>
    <xf numFmtId="2" fontId="0" fillId="2" borderId="9" xfId="0" applyNumberFormat="1" applyFill="1" applyBorder="1"/>
    <xf numFmtId="0" fontId="0" fillId="0" borderId="11" xfId="0" applyBorder="1" applyAlignment="1">
      <alignment horizontal="center"/>
    </xf>
    <xf numFmtId="2" fontId="0" fillId="0" borderId="11" xfId="0" applyNumberFormat="1" applyBorder="1" applyAlignment="1">
      <alignment horizontal="center"/>
    </xf>
    <xf numFmtId="168" fontId="0" fillId="0" borderId="11" xfId="0" applyNumberFormat="1" applyBorder="1" applyAlignment="1">
      <alignment horizontal="center"/>
    </xf>
    <xf numFmtId="2" fontId="0" fillId="6" borderId="11" xfId="0" applyNumberFormat="1" applyFill="1" applyBorder="1" applyAlignment="1">
      <alignment horizontal="center"/>
    </xf>
    <xf numFmtId="168" fontId="0" fillId="6" borderId="11" xfId="0" applyNumberFormat="1" applyFill="1" applyBorder="1" applyAlignment="1">
      <alignment horizontal="center"/>
    </xf>
    <xf numFmtId="2" fontId="2" fillId="0" borderId="13" xfId="0" applyNumberFormat="1" applyFont="1" applyBorder="1" applyAlignment="1">
      <alignment horizontal="center"/>
    </xf>
    <xf numFmtId="0" fontId="2" fillId="0" borderId="2" xfId="0" applyFont="1" applyBorder="1" applyAlignment="1"/>
    <xf numFmtId="0" fontId="2" fillId="5" borderId="2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left"/>
    </xf>
    <xf numFmtId="0" fontId="2" fillId="4" borderId="2" xfId="0" applyFont="1" applyFill="1" applyBorder="1"/>
    <xf numFmtId="0" fontId="2" fillId="5" borderId="2" xfId="0" applyFont="1" applyFill="1" applyBorder="1"/>
    <xf numFmtId="0" fontId="2" fillId="0" borderId="0" xfId="0" applyFont="1" applyBorder="1" applyAlignment="1"/>
    <xf numFmtId="164" fontId="2" fillId="0" borderId="4" xfId="0" applyNumberFormat="1" applyFont="1" applyBorder="1" applyAlignment="1">
      <alignment horizontal="center"/>
    </xf>
    <xf numFmtId="2" fontId="2" fillId="0" borderId="10" xfId="0" applyNumberFormat="1" applyFont="1" applyBorder="1" applyAlignment="1">
      <alignment horizontal="center"/>
    </xf>
    <xf numFmtId="167" fontId="2" fillId="0" borderId="4" xfId="0" applyNumberFormat="1" applyFont="1" applyBorder="1" applyAlignment="1">
      <alignment horizontal="center"/>
    </xf>
    <xf numFmtId="168" fontId="4" fillId="0" borderId="7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left" vertical="center"/>
    </xf>
    <xf numFmtId="1" fontId="2" fillId="0" borderId="11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1" fontId="2" fillId="0" borderId="2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left"/>
    </xf>
    <xf numFmtId="14" fontId="0" fillId="0" borderId="13" xfId="0" applyNumberFormat="1" applyFill="1" applyBorder="1"/>
    <xf numFmtId="165" fontId="2" fillId="0" borderId="14" xfId="0" applyNumberFormat="1" applyFont="1" applyBorder="1" applyAlignment="1">
      <alignment horizontal="right" vertical="center"/>
    </xf>
    <xf numFmtId="165" fontId="0" fillId="0" borderId="1" xfId="0" applyNumberFormat="1" applyBorder="1" applyAlignment="1"/>
    <xf numFmtId="0" fontId="2" fillId="0" borderId="1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49" fontId="2" fillId="0" borderId="8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2" fontId="4" fillId="0" borderId="8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1" fontId="4" fillId="0" borderId="12" xfId="0" quotePrefix="1" applyNumberFormat="1" applyFont="1" applyBorder="1" applyAlignment="1">
      <alignment horizontal="center" vertical="center"/>
    </xf>
    <xf numFmtId="1" fontId="4" fillId="0" borderId="2" xfId="0" quotePrefix="1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/>
    </xf>
    <xf numFmtId="0" fontId="0" fillId="0" borderId="1" xfId="0" applyBorder="1" applyAlignment="1"/>
    <xf numFmtId="0" fontId="2" fillId="0" borderId="12" xfId="0" applyFont="1" applyBorder="1" applyAlignment="1"/>
    <xf numFmtId="0" fontId="0" fillId="0" borderId="2" xfId="0" applyBorder="1" applyAlignment="1"/>
    <xf numFmtId="49" fontId="2" fillId="0" borderId="12" xfId="0" applyNumberFormat="1" applyFont="1" applyBorder="1" applyAlignment="1">
      <alignment horizontal="center"/>
    </xf>
    <xf numFmtId="170" fontId="2" fillId="0" borderId="12" xfId="0" applyNumberFormat="1" applyFont="1" applyBorder="1" applyAlignment="1">
      <alignment horizontal="center"/>
    </xf>
    <xf numFmtId="170" fontId="0" fillId="0" borderId="2" xfId="0" applyNumberFormat="1" applyBorder="1" applyAlignment="1">
      <alignment horizontal="center"/>
    </xf>
    <xf numFmtId="170" fontId="2" fillId="0" borderId="8" xfId="0" applyNumberFormat="1" applyFont="1" applyBorder="1" applyAlignment="1">
      <alignment horizontal="center"/>
    </xf>
    <xf numFmtId="170" fontId="0" fillId="0" borderId="3" xfId="0" applyNumberForma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170" fontId="2" fillId="0" borderId="13" xfId="0" applyNumberFormat="1" applyFont="1" applyBorder="1" applyAlignment="1">
      <alignment horizontal="center"/>
    </xf>
    <xf numFmtId="170" fontId="0" fillId="0" borderId="9" xfId="0" applyNumberForma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0" fillId="0" borderId="0" xfId="0" applyBorder="1" applyAlignment="1">
      <alignment horizontal="center"/>
    </xf>
    <xf numFmtId="2" fontId="2" fillId="0" borderId="12" xfId="0" applyNumberFormat="1" applyFon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165" fontId="0" fillId="0" borderId="15" xfId="0" applyNumberFormat="1" applyBorder="1" applyAlignment="1"/>
    <xf numFmtId="2" fontId="2" fillId="0" borderId="8" xfId="0" applyNumberFormat="1" applyFon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2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/>
    </xf>
    <xf numFmtId="49" fontId="2" fillId="0" borderId="15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5" fillId="0" borderId="7" xfId="0" applyFont="1" applyBorder="1" applyAlignment="1">
      <alignment horizontal="center"/>
    </xf>
    <xf numFmtId="0" fontId="17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010628F_7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010628F_9" connectionId="5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010628F_6" connectionId="4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010628G" connectionId="6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T020102M" connectionId="7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010628F_8" connectionId="3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010628F_5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3" Type="http://schemas.openxmlformats.org/officeDocument/2006/relationships/queryTable" Target="../queryTables/queryTable2.xml"/><Relationship Id="rId7" Type="http://schemas.openxmlformats.org/officeDocument/2006/relationships/queryTable" Target="../queryTables/queryTable6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3.bin"/><Relationship Id="rId6" Type="http://schemas.openxmlformats.org/officeDocument/2006/relationships/queryTable" Target="../queryTables/queryTable5.xml"/><Relationship Id="rId5" Type="http://schemas.openxmlformats.org/officeDocument/2006/relationships/queryTable" Target="../queryTables/queryTable4.xml"/><Relationship Id="rId4" Type="http://schemas.openxmlformats.org/officeDocument/2006/relationships/queryTable" Target="../queryTables/query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0"/>
  <sheetViews>
    <sheetView tabSelected="1" zoomScaleNormal="100" workbookViewId="0">
      <selection activeCell="E17" sqref="E17:F17"/>
    </sheetView>
  </sheetViews>
  <sheetFormatPr defaultColWidth="11.375" defaultRowHeight="12.45" x14ac:dyDescent="0.2"/>
  <cols>
    <col min="1" max="1" width="3" customWidth="1"/>
    <col min="2" max="2" width="5.625" customWidth="1"/>
    <col min="3" max="3" width="9.625" customWidth="1"/>
    <col min="4" max="4" width="8.875" customWidth="1"/>
    <col min="5" max="5" width="3.75" customWidth="1"/>
    <col min="6" max="6" width="5" customWidth="1"/>
    <col min="7" max="7" width="8.25" customWidth="1"/>
    <col min="8" max="8" width="9.125" customWidth="1"/>
    <col min="9" max="9" width="10.75" customWidth="1"/>
    <col min="10" max="10" width="10" customWidth="1"/>
    <col min="11" max="11" width="10.75" customWidth="1"/>
  </cols>
  <sheetData>
    <row r="1" spans="1:13" ht="15.75" customHeight="1" x14ac:dyDescent="0.25">
      <c r="A1" s="52"/>
      <c r="B1" s="52" t="s">
        <v>184</v>
      </c>
    </row>
    <row r="2" spans="1:13" ht="15.75" customHeight="1" x14ac:dyDescent="0.25">
      <c r="A2" s="52"/>
      <c r="B2" s="52" t="s">
        <v>158</v>
      </c>
    </row>
    <row r="3" spans="1:13" s="52" customFormat="1" ht="15.75" customHeight="1" x14ac:dyDescent="0.25">
      <c r="B3" s="52" t="s">
        <v>157</v>
      </c>
    </row>
    <row r="4" spans="1:13" s="52" customFormat="1" ht="15.05" customHeight="1" x14ac:dyDescent="0.25">
      <c r="B4" s="334" t="s">
        <v>176</v>
      </c>
      <c r="C4" s="334"/>
      <c r="D4" s="334"/>
      <c r="E4" s="334"/>
      <c r="F4" s="334"/>
      <c r="G4" s="334"/>
    </row>
    <row r="5" spans="1:13" s="52" customFormat="1" ht="10" customHeight="1" x14ac:dyDescent="0.25"/>
    <row r="6" spans="1:13" s="52" customFormat="1" ht="14.1" customHeight="1" x14ac:dyDescent="0.25">
      <c r="B6"/>
      <c r="C6" s="177" t="s">
        <v>115</v>
      </c>
      <c r="D6" s="178"/>
      <c r="E6" s="178"/>
      <c r="F6" s="178"/>
      <c r="G6" s="188"/>
      <c r="H6" s="179" t="s">
        <v>186</v>
      </c>
      <c r="I6" s="46"/>
      <c r="J6" s="46"/>
      <c r="K6" s="46"/>
      <c r="L6" s="46"/>
      <c r="M6" s="47"/>
    </row>
    <row r="7" spans="1:13" s="52" customFormat="1" ht="14.1" customHeight="1" x14ac:dyDescent="0.25">
      <c r="B7"/>
      <c r="C7" s="180" t="s">
        <v>116</v>
      </c>
      <c r="D7" s="181"/>
      <c r="E7" s="181"/>
      <c r="F7" s="181"/>
      <c r="G7" s="189"/>
      <c r="H7" s="183">
        <f>Varation!A2</f>
        <v>45078</v>
      </c>
      <c r="I7" s="46"/>
      <c r="J7" s="48"/>
      <c r="K7" s="46"/>
      <c r="L7" s="48"/>
      <c r="M7" s="49"/>
    </row>
    <row r="8" spans="1:13" s="52" customFormat="1" ht="14.1" customHeight="1" x14ac:dyDescent="0.25">
      <c r="B8" s="8"/>
      <c r="C8" s="180" t="s">
        <v>117</v>
      </c>
      <c r="D8" s="181"/>
      <c r="E8" s="181"/>
      <c r="F8" s="181"/>
      <c r="G8" s="152"/>
      <c r="H8" s="163" t="s">
        <v>118</v>
      </c>
      <c r="I8" s="46"/>
      <c r="J8" s="46"/>
      <c r="K8" s="46"/>
      <c r="L8" s="46"/>
      <c r="M8" s="47"/>
    </row>
    <row r="9" spans="1:13" s="52" customFormat="1" ht="14.1" customHeight="1" x14ac:dyDescent="0.25">
      <c r="B9" s="8"/>
      <c r="C9" s="180" t="s">
        <v>119</v>
      </c>
      <c r="D9" s="181"/>
      <c r="E9" s="181"/>
      <c r="F9" s="181"/>
      <c r="G9" s="153"/>
      <c r="H9" s="154">
        <f>Varation!B2</f>
        <v>0.6333333333333333</v>
      </c>
      <c r="I9" s="46"/>
      <c r="J9" s="46"/>
      <c r="K9" s="46"/>
      <c r="L9" s="50"/>
      <c r="M9" s="51"/>
    </row>
    <row r="10" spans="1:13" ht="14.1" customHeight="1" x14ac:dyDescent="0.2">
      <c r="B10" s="8"/>
      <c r="C10" s="83" t="s">
        <v>123</v>
      </c>
      <c r="D10" s="44"/>
      <c r="E10" s="44"/>
      <c r="F10" s="44"/>
      <c r="G10" s="44"/>
      <c r="H10" s="167" t="s">
        <v>121</v>
      </c>
      <c r="I10" s="8"/>
      <c r="J10" s="8"/>
      <c r="K10" s="8"/>
      <c r="L10" s="27"/>
      <c r="M10" s="8"/>
    </row>
    <row r="11" spans="1:13" ht="14.1" customHeight="1" x14ac:dyDescent="0.2">
      <c r="A11" s="46"/>
      <c r="B11" s="8"/>
      <c r="C11" s="83" t="s">
        <v>124</v>
      </c>
      <c r="D11" s="44"/>
      <c r="E11" s="44"/>
      <c r="F11" s="44"/>
      <c r="G11" s="44"/>
      <c r="H11" s="167" t="s">
        <v>122</v>
      </c>
      <c r="I11" s="8"/>
      <c r="J11" s="8"/>
      <c r="K11" s="8"/>
      <c r="L11" s="27"/>
      <c r="M11" s="8"/>
    </row>
    <row r="12" spans="1:13" ht="14.1" customHeight="1" x14ac:dyDescent="0.2">
      <c r="A12" s="46"/>
      <c r="B12" s="8"/>
      <c r="C12" s="135" t="s">
        <v>120</v>
      </c>
      <c r="D12" s="44" t="s">
        <v>177</v>
      </c>
      <c r="E12" s="44"/>
      <c r="F12" s="42"/>
      <c r="G12" s="42"/>
      <c r="H12" s="187"/>
      <c r="I12" s="8"/>
      <c r="J12" s="8"/>
      <c r="K12" s="8"/>
      <c r="L12" s="27"/>
      <c r="M12" s="8"/>
    </row>
    <row r="13" spans="1:13" x14ac:dyDescent="0.2">
      <c r="D13" s="233"/>
      <c r="E13" s="233"/>
    </row>
    <row r="14" spans="1:13" x14ac:dyDescent="0.2">
      <c r="A14" s="5"/>
      <c r="B14" s="5" t="s">
        <v>2</v>
      </c>
      <c r="C14" s="143" t="s">
        <v>4</v>
      </c>
      <c r="D14" s="143" t="s">
        <v>98</v>
      </c>
      <c r="E14" s="426" t="s">
        <v>110</v>
      </c>
      <c r="F14" s="427"/>
      <c r="G14" s="147" t="s">
        <v>5</v>
      </c>
      <c r="H14" s="5" t="s">
        <v>5</v>
      </c>
      <c r="I14" s="5" t="s">
        <v>5</v>
      </c>
      <c r="J14" s="5" t="s">
        <v>43</v>
      </c>
      <c r="K14" s="5" t="s">
        <v>112</v>
      </c>
      <c r="L14" s="21"/>
      <c r="M14" s="21"/>
    </row>
    <row r="15" spans="1:13" x14ac:dyDescent="0.2">
      <c r="A15" s="6"/>
      <c r="B15" s="6" t="s">
        <v>38</v>
      </c>
      <c r="C15" s="6"/>
      <c r="D15" s="144" t="s">
        <v>39</v>
      </c>
      <c r="E15" s="409" t="s">
        <v>111</v>
      </c>
      <c r="F15" s="430"/>
      <c r="G15" s="23" t="s">
        <v>51</v>
      </c>
      <c r="H15" s="6" t="s">
        <v>29</v>
      </c>
      <c r="I15" s="6" t="s">
        <v>39</v>
      </c>
      <c r="J15" s="6" t="s">
        <v>149</v>
      </c>
      <c r="K15" s="6" t="s">
        <v>113</v>
      </c>
      <c r="L15" s="21"/>
      <c r="M15" s="21"/>
    </row>
    <row r="16" spans="1:13" x14ac:dyDescent="0.2">
      <c r="A16" s="22"/>
      <c r="B16" s="11" t="s">
        <v>58</v>
      </c>
      <c r="C16" s="11" t="s">
        <v>84</v>
      </c>
      <c r="D16" s="145" t="s">
        <v>85</v>
      </c>
      <c r="E16" s="235" t="s">
        <v>85</v>
      </c>
      <c r="F16" s="342">
        <v>500</v>
      </c>
      <c r="G16" s="142" t="s">
        <v>40</v>
      </c>
      <c r="H16" s="11" t="s">
        <v>41</v>
      </c>
      <c r="I16" s="11" t="s">
        <v>42</v>
      </c>
      <c r="J16" s="11" t="s">
        <v>86</v>
      </c>
      <c r="K16" s="11" t="s">
        <v>44</v>
      </c>
      <c r="L16" s="60"/>
      <c r="M16" s="60"/>
    </row>
    <row r="17" spans="1:11" s="8" customFormat="1" ht="14.25" customHeight="1" x14ac:dyDescent="0.2">
      <c r="A17" s="6"/>
      <c r="B17" s="36">
        <v>1</v>
      </c>
      <c r="C17" s="220">
        <f>Varation!B2</f>
        <v>0.6333333333333333</v>
      </c>
      <c r="D17" s="292">
        <f>Varation!F2</f>
        <v>48100</v>
      </c>
      <c r="E17" s="431">
        <f>D17+F16</f>
        <v>48600</v>
      </c>
      <c r="F17" s="432"/>
      <c r="G17" s="297">
        <f>Varation!C2</f>
        <v>0</v>
      </c>
      <c r="H17" s="259">
        <f>Varation!E2</f>
        <v>0</v>
      </c>
      <c r="I17" s="259">
        <f>Inclination!P26*'F-AbsVal-BaseVal'!G17+Inclination!P25*'F-AbsVal-BaseVal'!H17</f>
        <v>0</v>
      </c>
      <c r="J17" s="259">
        <f>I17-I17</f>
        <v>0</v>
      </c>
      <c r="K17" s="40"/>
    </row>
    <row r="18" spans="1:11" s="8" customFormat="1" ht="14.25" customHeight="1" x14ac:dyDescent="0.2">
      <c r="A18" s="6"/>
      <c r="B18" s="6"/>
      <c r="C18" s="193"/>
      <c r="D18" s="252"/>
      <c r="E18" s="252"/>
      <c r="F18" s="248"/>
      <c r="G18" s="298"/>
      <c r="H18" s="261"/>
      <c r="I18" s="261"/>
      <c r="J18" s="261"/>
      <c r="K18" s="3"/>
    </row>
    <row r="19" spans="1:11" s="8" customFormat="1" ht="14.25" customHeight="1" x14ac:dyDescent="0.2">
      <c r="A19" s="6"/>
      <c r="B19" s="6">
        <v>5</v>
      </c>
      <c r="C19" s="193">
        <f>Varation!B10</f>
        <v>0.67592592592592593</v>
      </c>
      <c r="D19" s="293">
        <f>Varation!F10</f>
        <v>48100</v>
      </c>
      <c r="E19" s="422">
        <f>D19+F16</f>
        <v>48600</v>
      </c>
      <c r="F19" s="423"/>
      <c r="G19" s="298">
        <f>Varation!C10</f>
        <v>0</v>
      </c>
      <c r="H19" s="261">
        <f>Varation!E10</f>
        <v>0</v>
      </c>
      <c r="I19" s="261">
        <f>Inclination!P26*'F-AbsVal-BaseVal'!G19+Inclination!P25*'F-AbsVal-BaseVal'!H19</f>
        <v>0</v>
      </c>
      <c r="J19" s="261">
        <f>I19-I17</f>
        <v>0</v>
      </c>
      <c r="K19" s="74">
        <f>E19-J19</f>
        <v>48600</v>
      </c>
    </row>
    <row r="20" spans="1:11" s="8" customFormat="1" ht="14.25" customHeight="1" x14ac:dyDescent="0.2">
      <c r="A20" s="6"/>
      <c r="B20" s="6"/>
      <c r="C20" s="193"/>
      <c r="D20" s="293"/>
      <c r="E20" s="293"/>
      <c r="F20" s="296"/>
      <c r="G20" s="298"/>
      <c r="H20" s="261"/>
      <c r="I20" s="261"/>
      <c r="J20" s="261"/>
      <c r="K20" s="74"/>
    </row>
    <row r="21" spans="1:11" s="8" customFormat="1" ht="14.25" customHeight="1" x14ac:dyDescent="0.2">
      <c r="A21" s="34" t="s">
        <v>127</v>
      </c>
      <c r="B21" s="6">
        <v>6</v>
      </c>
      <c r="C21" s="193">
        <f>Varation!B12</f>
        <v>0.6777777777777777</v>
      </c>
      <c r="D21" s="293">
        <f>Varation!F12</f>
        <v>48250</v>
      </c>
      <c r="E21" s="422">
        <f>D21+F16</f>
        <v>48750</v>
      </c>
      <c r="F21" s="423"/>
      <c r="G21" s="298">
        <f>Varation!C12</f>
        <v>0</v>
      </c>
      <c r="H21" s="261">
        <f>Varation!E12</f>
        <v>0</v>
      </c>
      <c r="I21" s="261">
        <f>Inclination!P26*'F-AbsVal-BaseVal'!G21+Inclination!P25*'F-AbsVal-BaseVal'!H21</f>
        <v>0</v>
      </c>
      <c r="J21" s="261">
        <f>I21-I17</f>
        <v>0</v>
      </c>
      <c r="K21" s="74">
        <f>E21-J21</f>
        <v>48750</v>
      </c>
    </row>
    <row r="22" spans="1:11" s="8" customFormat="1" ht="14.25" customHeight="1" x14ac:dyDescent="0.2">
      <c r="A22" s="6"/>
      <c r="B22" s="6"/>
      <c r="C22" s="193"/>
      <c r="D22" s="293"/>
      <c r="E22" s="293"/>
      <c r="F22" s="296"/>
      <c r="G22" s="298"/>
      <c r="H22" s="261"/>
      <c r="I22" s="261"/>
      <c r="J22" s="261"/>
      <c r="K22" s="74"/>
    </row>
    <row r="23" spans="1:11" s="8" customFormat="1" ht="14.25" customHeight="1" x14ac:dyDescent="0.2">
      <c r="A23" s="6"/>
      <c r="B23" s="6">
        <v>7</v>
      </c>
      <c r="C23" s="193">
        <f>Varation!B14</f>
        <v>0.68819444444444444</v>
      </c>
      <c r="D23" s="293">
        <f>Varation!F14</f>
        <v>48150</v>
      </c>
      <c r="E23" s="422">
        <f>D23+F16</f>
        <v>48650</v>
      </c>
      <c r="F23" s="423"/>
      <c r="G23" s="298">
        <f>Varation!C14</f>
        <v>0</v>
      </c>
      <c r="H23" s="261">
        <f>Varation!E14</f>
        <v>0</v>
      </c>
      <c r="I23" s="261">
        <f>Inclination!P26*'F-AbsVal-BaseVal'!G23+Inclination!P25*'F-AbsVal-BaseVal'!H23</f>
        <v>0</v>
      </c>
      <c r="J23" s="261">
        <f>I23-I17</f>
        <v>0</v>
      </c>
      <c r="K23" s="74">
        <f>E23-J23</f>
        <v>48650</v>
      </c>
    </row>
    <row r="24" spans="1:11" s="8" customFormat="1" ht="14.25" customHeight="1" x14ac:dyDescent="0.2">
      <c r="A24" s="6"/>
      <c r="B24" s="6"/>
      <c r="C24" s="193"/>
      <c r="D24" s="293"/>
      <c r="E24" s="293"/>
      <c r="F24" s="296"/>
      <c r="G24" s="298"/>
      <c r="H24" s="261"/>
      <c r="I24" s="261"/>
      <c r="J24" s="261"/>
      <c r="K24" s="74"/>
    </row>
    <row r="25" spans="1:11" s="8" customFormat="1" ht="14.25" customHeight="1" x14ac:dyDescent="0.2">
      <c r="A25" s="6"/>
      <c r="B25" s="7">
        <v>8</v>
      </c>
      <c r="C25" s="249">
        <f>Varation!B16</f>
        <v>0.69166666666666676</v>
      </c>
      <c r="D25" s="294">
        <f>Varation!F16</f>
        <v>48333</v>
      </c>
      <c r="E25" s="424">
        <f>D25+F16</f>
        <v>48833</v>
      </c>
      <c r="F25" s="425"/>
      <c r="G25" s="299">
        <f>Varation!C16</f>
        <v>0</v>
      </c>
      <c r="H25" s="300">
        <f>Varation!E16</f>
        <v>0</v>
      </c>
      <c r="I25" s="300">
        <f>Inclination!P26*'F-AbsVal-BaseVal'!G25+Inclination!P25*'F-AbsVal-BaseVal'!H25</f>
        <v>0</v>
      </c>
      <c r="J25" s="300">
        <f>I25-I17</f>
        <v>0</v>
      </c>
      <c r="K25" s="251">
        <f>E25-J25</f>
        <v>48833</v>
      </c>
    </row>
    <row r="26" spans="1:11" s="8" customFormat="1" ht="14.25" customHeight="1" x14ac:dyDescent="0.2">
      <c r="A26" s="6"/>
      <c r="B26" s="200" t="s">
        <v>168</v>
      </c>
      <c r="C26" s="125" t="s">
        <v>45</v>
      </c>
      <c r="D26" s="126">
        <f>AVERAGE(D19,D21,D23,D25)</f>
        <v>48208.25</v>
      </c>
      <c r="E26" s="126"/>
      <c r="F26" s="125" t="s">
        <v>49</v>
      </c>
      <c r="G26" s="125">
        <v>1.745E-2</v>
      </c>
      <c r="H26" s="125" t="s">
        <v>69</v>
      </c>
      <c r="I26" s="126">
        <f>G26*D26</f>
        <v>841.23396249999996</v>
      </c>
      <c r="J26" s="127" t="s">
        <v>46</v>
      </c>
      <c r="K26" s="201">
        <f>AVERAGE(K19,K21,K23,K25)</f>
        <v>48708.25</v>
      </c>
    </row>
    <row r="27" spans="1:11" s="8" customFormat="1" ht="14.25" customHeight="1" x14ac:dyDescent="0.2">
      <c r="A27" s="6"/>
      <c r="B27" s="200"/>
      <c r="C27" s="127" t="s">
        <v>81</v>
      </c>
      <c r="D27" s="126">
        <f>D26*Inclination!P26</f>
        <v>23051.396183359237</v>
      </c>
      <c r="E27" s="126"/>
      <c r="F27" s="101" t="s">
        <v>48</v>
      </c>
      <c r="G27" s="127">
        <f>G26*D27</f>
        <v>402.24686339961869</v>
      </c>
      <c r="H27" s="125"/>
      <c r="I27" s="125"/>
      <c r="J27" s="125"/>
      <c r="K27" s="201"/>
    </row>
    <row r="28" spans="1:11" s="8" customFormat="1" ht="5.0999999999999996" customHeight="1" x14ac:dyDescent="0.2">
      <c r="A28" s="7"/>
      <c r="B28" s="128"/>
      <c r="C28" s="109"/>
      <c r="D28" s="130"/>
      <c r="E28" s="130"/>
      <c r="F28" s="109"/>
      <c r="G28" s="109"/>
      <c r="H28" s="130"/>
      <c r="I28" s="129"/>
      <c r="J28" s="129"/>
      <c r="K28" s="131"/>
    </row>
    <row r="29" spans="1:11" s="8" customFormat="1" ht="10.5" x14ac:dyDescent="0.2">
      <c r="A29" s="70"/>
      <c r="B29" s="70"/>
      <c r="C29" s="70"/>
      <c r="D29" s="70"/>
      <c r="E29" s="70"/>
      <c r="F29" s="70"/>
      <c r="G29" s="70"/>
      <c r="H29" s="70"/>
      <c r="I29" s="70"/>
      <c r="J29" s="70"/>
      <c r="K29" s="70"/>
    </row>
    <row r="30" spans="1:11" s="8" customFormat="1" ht="15.25" customHeight="1" x14ac:dyDescent="0.25">
      <c r="A30" s="72"/>
      <c r="B30" s="88"/>
      <c r="C30" s="122" t="s">
        <v>91</v>
      </c>
      <c r="D30" s="123"/>
      <c r="E30" s="123"/>
      <c r="F30" s="123"/>
      <c r="G30" s="124"/>
      <c r="H30" s="195"/>
      <c r="I30" s="242" t="s">
        <v>80</v>
      </c>
      <c r="J30" s="44"/>
      <c r="K30" s="79"/>
    </row>
    <row r="31" spans="1:11" s="8" customFormat="1" ht="5.25" customHeight="1" x14ac:dyDescent="0.2">
      <c r="A31" s="72"/>
      <c r="B31"/>
      <c r="C31"/>
      <c r="D31"/>
      <c r="E31"/>
      <c r="F31"/>
      <c r="G31"/>
      <c r="H31"/>
      <c r="I31" s="72"/>
      <c r="J31" s="79"/>
      <c r="K31" s="72"/>
    </row>
    <row r="32" spans="1:11" s="8" customFormat="1" ht="10" customHeight="1" x14ac:dyDescent="0.2">
      <c r="A32" s="72"/>
      <c r="B32" s="78"/>
      <c r="C32" s="79"/>
      <c r="D32" s="79"/>
      <c r="E32" s="79"/>
      <c r="F32" s="79"/>
      <c r="G32" s="79"/>
      <c r="H32" s="79"/>
      <c r="I32" s="72"/>
      <c r="J32" s="72"/>
      <c r="K32" s="72"/>
    </row>
    <row r="33" spans="1:11" s="8" customFormat="1" ht="15.9" customHeight="1" x14ac:dyDescent="0.2">
      <c r="A33" s="75"/>
      <c r="B33" s="76"/>
      <c r="C33" s="76" t="s">
        <v>128</v>
      </c>
      <c r="D33" s="77"/>
      <c r="E33" s="77"/>
      <c r="F33" s="61"/>
      <c r="G33" s="61"/>
      <c r="H33" s="61"/>
      <c r="I33" s="61"/>
      <c r="J33" s="61"/>
      <c r="K33" s="61"/>
    </row>
    <row r="34" spans="1:11" s="8" customFormat="1" ht="15.9" customHeight="1" x14ac:dyDescent="0.2">
      <c r="A34" s="61"/>
      <c r="B34" s="61"/>
      <c r="C34" s="63"/>
      <c r="D34" s="63"/>
      <c r="E34" s="23"/>
      <c r="F34" s="23"/>
      <c r="G34" s="63"/>
      <c r="H34" s="63"/>
      <c r="I34" s="63"/>
      <c r="J34" s="63"/>
      <c r="K34" s="63"/>
    </row>
    <row r="35" spans="1:11" s="8" customFormat="1" ht="14.1" customHeight="1" x14ac:dyDescent="0.2">
      <c r="A35" s="61"/>
      <c r="B35" s="61"/>
      <c r="C35" s="5" t="s">
        <v>56</v>
      </c>
      <c r="D35" s="147" t="s">
        <v>12</v>
      </c>
      <c r="E35" s="426" t="s">
        <v>32</v>
      </c>
      <c r="F35" s="427"/>
      <c r="G35" s="2" t="s">
        <v>39</v>
      </c>
      <c r="H35" s="5" t="s">
        <v>51</v>
      </c>
      <c r="I35" s="5" t="s">
        <v>6</v>
      </c>
      <c r="J35" s="2" t="s">
        <v>7</v>
      </c>
      <c r="K35" s="5" t="s">
        <v>29</v>
      </c>
    </row>
    <row r="36" spans="1:11" s="8" customFormat="1" ht="14.1" customHeight="1" x14ac:dyDescent="0.2">
      <c r="A36" s="61"/>
      <c r="B36" s="61"/>
      <c r="C36" s="7"/>
      <c r="D36" s="145" t="s">
        <v>77</v>
      </c>
      <c r="E36" s="411" t="s">
        <v>77</v>
      </c>
      <c r="F36" s="428"/>
      <c r="G36" s="141"/>
      <c r="H36" s="7" t="s">
        <v>55</v>
      </c>
      <c r="I36" s="7" t="s">
        <v>53</v>
      </c>
      <c r="J36" s="7" t="s">
        <v>52</v>
      </c>
      <c r="K36" s="7" t="s">
        <v>54</v>
      </c>
    </row>
    <row r="37" spans="1:11" s="8" customFormat="1" ht="15.9" customHeight="1" x14ac:dyDescent="0.2">
      <c r="A37" s="61"/>
      <c r="B37" s="61"/>
      <c r="C37" s="144"/>
      <c r="D37" s="239">
        <f>TRUNC(Declination!K47)</f>
        <v>-45</v>
      </c>
      <c r="E37" s="238">
        <f>TRUNC(Inclination!S25)</f>
        <v>61</v>
      </c>
      <c r="G37" s="144"/>
      <c r="H37" s="6"/>
      <c r="I37" s="144"/>
      <c r="J37" s="6"/>
      <c r="K37" s="6"/>
    </row>
    <row r="38" spans="1:11" s="87" customFormat="1" ht="18" customHeight="1" x14ac:dyDescent="0.2">
      <c r="A38" s="86"/>
      <c r="B38" s="86"/>
      <c r="C38" s="240">
        <f>C17</f>
        <v>0.6333333333333333</v>
      </c>
      <c r="D38" s="227">
        <f>(Declination!K47-TRUNC(Declination!K47))*60</f>
        <v>-53.108333333331643</v>
      </c>
      <c r="E38" s="244"/>
      <c r="F38" s="241">
        <f>(Inclination!S25-TRUNC(Inclination!S25))*60</f>
        <v>26.070833333333212</v>
      </c>
      <c r="G38" s="254">
        <f>K26</f>
        <v>48708.25</v>
      </c>
      <c r="H38" s="227">
        <f>COS(RADIANS(Inclination!S25))*G38</f>
        <v>23290.477628789835</v>
      </c>
      <c r="I38" s="254">
        <f>COS(RADIANS(Declination!K47))*H38</f>
        <v>16212.479058431998</v>
      </c>
      <c r="J38" s="227">
        <f>SIN(RADIANS(Declination!K47))*H38</f>
        <v>-16721.29991827979</v>
      </c>
      <c r="K38" s="227">
        <f>SIN(RADIANS(Inclination!S25))*G38</f>
        <v>42779.051764681979</v>
      </c>
    </row>
    <row r="39" spans="1:11" s="8" customFormat="1" ht="10" customHeight="1" x14ac:dyDescent="0.2">
      <c r="A39" s="61"/>
      <c r="B39" s="61"/>
      <c r="C39" s="61"/>
      <c r="D39" s="67"/>
      <c r="E39" s="67"/>
      <c r="F39" s="61"/>
      <c r="G39" s="61"/>
      <c r="H39" s="61"/>
      <c r="I39" s="61"/>
      <c r="J39" s="61"/>
      <c r="K39" s="67"/>
    </row>
    <row r="40" spans="1:11" s="8" customFormat="1" ht="10" customHeight="1" x14ac:dyDescent="0.2">
      <c r="A40" s="61"/>
      <c r="B40" s="61"/>
      <c r="C40" s="61"/>
      <c r="D40" s="67"/>
      <c r="E40" s="67"/>
      <c r="F40" s="61"/>
      <c r="G40" s="61"/>
      <c r="H40" s="61"/>
      <c r="I40" s="61"/>
      <c r="J40" s="61"/>
      <c r="K40" s="61"/>
    </row>
    <row r="41" spans="1:11" s="8" customFormat="1" ht="15.9" customHeight="1" x14ac:dyDescent="0.2">
      <c r="A41" s="61"/>
      <c r="B41" s="61"/>
      <c r="C41" s="82" t="s">
        <v>129</v>
      </c>
      <c r="D41" s="67"/>
      <c r="E41" s="67"/>
      <c r="F41" s="61"/>
      <c r="G41" s="61"/>
      <c r="H41" s="61"/>
      <c r="I41" s="67"/>
      <c r="J41" s="61"/>
      <c r="K41" s="61"/>
    </row>
    <row r="42" spans="1:11" s="8" customFormat="1" ht="13.75" customHeight="1" x14ac:dyDescent="0.2">
      <c r="A42" s="61"/>
      <c r="B42" s="61"/>
      <c r="C42" s="61"/>
      <c r="D42" s="61"/>
      <c r="E42" s="61"/>
      <c r="F42" s="61"/>
      <c r="G42" s="61"/>
      <c r="H42" s="61"/>
      <c r="I42" s="61"/>
      <c r="J42" s="61"/>
      <c r="K42" s="61"/>
    </row>
    <row r="43" spans="1:11" s="8" customFormat="1" ht="14.1" customHeight="1" x14ac:dyDescent="0.25">
      <c r="A43" s="61"/>
      <c r="B43" s="61"/>
      <c r="C43" s="223"/>
      <c r="D43" s="223" t="s">
        <v>93</v>
      </c>
      <c r="E43" s="223"/>
      <c r="F43" s="434" t="s">
        <v>94</v>
      </c>
      <c r="G43" s="418"/>
      <c r="H43" s="179" t="s">
        <v>95</v>
      </c>
      <c r="I43" s="417" t="s">
        <v>96</v>
      </c>
      <c r="J43" s="418"/>
      <c r="K43" s="224" t="s">
        <v>97</v>
      </c>
    </row>
    <row r="44" spans="1:11" s="8" customFormat="1" ht="14.1" customHeight="1" x14ac:dyDescent="0.2">
      <c r="A44" s="61"/>
      <c r="B44" s="61"/>
      <c r="C44" s="144" t="s">
        <v>56</v>
      </c>
      <c r="D44" s="83"/>
      <c r="E44" s="83"/>
      <c r="F44" s="435"/>
      <c r="G44" s="430"/>
      <c r="H44" s="3" t="s">
        <v>83</v>
      </c>
      <c r="I44" s="419"/>
      <c r="J44" s="420"/>
      <c r="K44" s="222" t="s">
        <v>174</v>
      </c>
    </row>
    <row r="45" spans="1:11" s="8" customFormat="1" ht="14.1" customHeight="1" x14ac:dyDescent="0.2">
      <c r="A45" s="61"/>
      <c r="B45" s="61"/>
      <c r="C45" s="144"/>
      <c r="D45" s="141" t="s">
        <v>57</v>
      </c>
      <c r="E45" s="144"/>
      <c r="F45" s="433" t="s">
        <v>88</v>
      </c>
      <c r="G45" s="420"/>
      <c r="H45" s="4" t="s">
        <v>57</v>
      </c>
      <c r="I45" s="421" t="s">
        <v>88</v>
      </c>
      <c r="J45" s="420"/>
      <c r="K45" s="55"/>
    </row>
    <row r="46" spans="1:11" s="8" customFormat="1" ht="15.9" customHeight="1" x14ac:dyDescent="0.2">
      <c r="A46" s="61"/>
      <c r="B46" s="61"/>
      <c r="C46" s="5"/>
      <c r="D46" s="23"/>
      <c r="E46" s="407">
        <f>Declination!K47-(ATAN((Declination!N36)/(D48+Inclination!N17)))*57.2956</f>
        <v>-45.885138888888861</v>
      </c>
      <c r="F46" s="438"/>
      <c r="G46" s="208" t="s">
        <v>18</v>
      </c>
      <c r="I46" s="263">
        <f>Inclination!S25-Inclination!Q17</f>
        <v>61.434513888888887</v>
      </c>
      <c r="J46" s="208" t="s">
        <v>18</v>
      </c>
      <c r="K46" s="229"/>
    </row>
    <row r="47" spans="1:11" s="8" customFormat="1" ht="15.05" customHeight="1" x14ac:dyDescent="0.2">
      <c r="A47" s="61"/>
      <c r="B47" s="61"/>
      <c r="C47" s="6"/>
      <c r="D47" s="23"/>
      <c r="E47" s="144"/>
      <c r="F47" s="231">
        <f>TRUNC(E46)</f>
        <v>-45</v>
      </c>
      <c r="G47" s="213" t="s">
        <v>87</v>
      </c>
      <c r="I47" s="236">
        <f>TRUNC(I46)</f>
        <v>61</v>
      </c>
      <c r="J47" s="213" t="s">
        <v>87</v>
      </c>
      <c r="K47" s="3"/>
    </row>
    <row r="48" spans="1:11" s="84" customFormat="1" ht="15.05" customHeight="1" x14ac:dyDescent="0.2">
      <c r="A48" s="86"/>
      <c r="B48" s="86"/>
      <c r="C48" s="221">
        <f>Inclination!D17</f>
        <v>0.6333333333333333</v>
      </c>
      <c r="D48" s="254">
        <f>(SQRT((SUMSQ('F-AbsVal-BaseVal'!H38)-SUMSQ(Declination!N36)))-Inclination!N17)</f>
        <v>23290.477628789835</v>
      </c>
      <c r="E48" s="228"/>
      <c r="F48" s="232">
        <f>(E46-TRUNC(E46))*60</f>
        <v>-53.108333333331643</v>
      </c>
      <c r="G48" s="214" t="s">
        <v>79</v>
      </c>
      <c r="H48" s="241">
        <f>K38-Inclination!P17</f>
        <v>42779.051764681979</v>
      </c>
      <c r="I48" s="237">
        <f>(I46-TRUNC(I46))*60</f>
        <v>26.070833333333212</v>
      </c>
      <c r="J48" s="214" t="s">
        <v>79</v>
      </c>
      <c r="K48" s="230">
        <f>G38-D17</f>
        <v>608.25</v>
      </c>
    </row>
    <row r="49" spans="1:11" ht="5.0999999999999996" customHeight="1" x14ac:dyDescent="0.2">
      <c r="A49" s="21"/>
      <c r="B49" s="21"/>
      <c r="C49" s="21"/>
      <c r="D49" s="21"/>
      <c r="E49" s="21"/>
      <c r="F49" s="21"/>
      <c r="G49" s="60"/>
      <c r="H49" s="198"/>
      <c r="I49" s="21"/>
      <c r="J49" s="21"/>
      <c r="K49" s="21"/>
    </row>
    <row r="50" spans="1:11" s="207" customFormat="1" ht="15.9" customHeight="1" x14ac:dyDescent="0.2">
      <c r="C50" s="194" t="s">
        <v>89</v>
      </c>
      <c r="D50" s="209"/>
      <c r="E50" s="210"/>
      <c r="F50" s="243"/>
      <c r="G50" s="111" t="s">
        <v>99</v>
      </c>
      <c r="H50" s="211"/>
      <c r="I50" s="212"/>
      <c r="K50" s="207" t="s">
        <v>100</v>
      </c>
    </row>
    <row r="51" spans="1:11" ht="15.9" customHeight="1" x14ac:dyDescent="0.2">
      <c r="H51" s="10"/>
      <c r="K51" s="8"/>
    </row>
    <row r="52" spans="1:11" ht="15.75" customHeight="1" x14ac:dyDescent="0.2">
      <c r="C52" s="330" t="s">
        <v>173</v>
      </c>
      <c r="D52" s="331">
        <f>((Declination!R38-Declination!R36+Declination!R42-Declination!R40)/4)*H38/57.2958</f>
        <v>2.0324768681853511</v>
      </c>
      <c r="H52" s="329"/>
      <c r="I52" s="330" t="s">
        <v>172</v>
      </c>
      <c r="J52" s="331">
        <f>((Inclination!S18-Inclination!S20+Inclination!S22-Inclination!S24)/4)*G38/57.29578</f>
        <v>210.81778617077322</v>
      </c>
    </row>
    <row r="53" spans="1:11" ht="15.75" customHeight="1" x14ac:dyDescent="0.2"/>
    <row r="54" spans="1:11" ht="13.1" x14ac:dyDescent="0.25">
      <c r="A54" s="52"/>
      <c r="B54" s="52" t="s">
        <v>184</v>
      </c>
    </row>
    <row r="55" spans="1:11" ht="13.1" x14ac:dyDescent="0.25">
      <c r="A55" s="52"/>
      <c r="B55" s="52" t="s">
        <v>158</v>
      </c>
    </row>
    <row r="56" spans="1:11" ht="13.1" x14ac:dyDescent="0.25">
      <c r="A56" s="52"/>
      <c r="B56" s="52" t="s">
        <v>145</v>
      </c>
      <c r="C56" s="52"/>
      <c r="D56" s="52"/>
      <c r="E56" s="52"/>
      <c r="F56" s="52"/>
      <c r="G56" s="52"/>
      <c r="H56" s="52"/>
      <c r="I56" s="52"/>
      <c r="J56" s="52"/>
      <c r="K56" s="52"/>
    </row>
    <row r="57" spans="1:11" ht="13.1" x14ac:dyDescent="0.25">
      <c r="A57" s="52"/>
      <c r="B57" s="52"/>
      <c r="C57" s="52"/>
      <c r="D57" s="52"/>
      <c r="E57" s="52"/>
      <c r="F57" s="52"/>
      <c r="G57" s="52"/>
      <c r="H57" s="52"/>
      <c r="I57" s="52"/>
      <c r="J57" s="52"/>
      <c r="K57" s="52"/>
    </row>
    <row r="58" spans="1:11" ht="13.1" x14ac:dyDescent="0.25">
      <c r="A58" s="52"/>
      <c r="B58" s="52"/>
      <c r="C58" s="52"/>
      <c r="D58" s="52"/>
      <c r="E58" s="52"/>
      <c r="F58" s="52"/>
      <c r="G58" s="52"/>
      <c r="H58" s="52"/>
      <c r="I58" s="52"/>
      <c r="J58" s="52"/>
      <c r="K58" s="52"/>
    </row>
    <row r="59" spans="1:11" ht="13.1" x14ac:dyDescent="0.25">
      <c r="A59" s="52"/>
      <c r="C59" s="177" t="s">
        <v>115</v>
      </c>
      <c r="D59" s="178"/>
      <c r="E59" s="178"/>
      <c r="F59" s="178"/>
      <c r="G59" s="188"/>
      <c r="H59" s="179" t="s">
        <v>186</v>
      </c>
      <c r="I59" s="46"/>
      <c r="J59" s="46"/>
      <c r="K59" s="46"/>
    </row>
    <row r="60" spans="1:11" ht="13.1" x14ac:dyDescent="0.25">
      <c r="A60" s="52"/>
      <c r="C60" s="180" t="s">
        <v>116</v>
      </c>
      <c r="D60" s="181"/>
      <c r="E60" s="181"/>
      <c r="F60" s="181"/>
      <c r="G60" s="189"/>
      <c r="H60" s="183">
        <f>H7</f>
        <v>45078</v>
      </c>
      <c r="I60" s="46"/>
      <c r="J60" s="48"/>
      <c r="K60" s="46"/>
    </row>
    <row r="61" spans="1:11" ht="13.1" x14ac:dyDescent="0.25">
      <c r="A61" s="52"/>
      <c r="B61" s="8"/>
      <c r="C61" s="180" t="s">
        <v>117</v>
      </c>
      <c r="D61" s="181"/>
      <c r="E61" s="181"/>
      <c r="F61" s="181"/>
      <c r="G61" s="152"/>
      <c r="H61" s="163" t="str">
        <f>H8</f>
        <v>Absolute</v>
      </c>
      <c r="I61" s="46"/>
      <c r="J61" s="46"/>
      <c r="K61" s="46"/>
    </row>
    <row r="62" spans="1:11" ht="13.1" x14ac:dyDescent="0.25">
      <c r="A62" s="52"/>
      <c r="B62" s="8"/>
      <c r="C62" s="180" t="s">
        <v>119</v>
      </c>
      <c r="D62" s="181"/>
      <c r="E62" s="181"/>
      <c r="F62" s="181"/>
      <c r="G62" s="153"/>
      <c r="H62" s="154">
        <f>H9</f>
        <v>0.6333333333333333</v>
      </c>
      <c r="I62" s="46"/>
      <c r="J62" s="46"/>
      <c r="K62" s="46"/>
    </row>
    <row r="63" spans="1:11" x14ac:dyDescent="0.2">
      <c r="B63" s="8"/>
      <c r="C63" s="83" t="s">
        <v>123</v>
      </c>
      <c r="D63" s="44"/>
      <c r="E63" s="44"/>
      <c r="F63" s="44"/>
      <c r="G63" s="44"/>
      <c r="H63" s="167" t="s">
        <v>121</v>
      </c>
      <c r="I63" s="8"/>
      <c r="J63" s="8"/>
      <c r="K63" s="8"/>
    </row>
    <row r="64" spans="1:11" x14ac:dyDescent="0.2">
      <c r="A64" s="46"/>
      <c r="B64" s="8"/>
      <c r="C64" s="83" t="s">
        <v>124</v>
      </c>
      <c r="D64" s="44"/>
      <c r="E64" s="44"/>
      <c r="F64" s="44"/>
      <c r="G64" s="44"/>
      <c r="H64" s="394" t="s">
        <v>140</v>
      </c>
      <c r="I64" s="8"/>
      <c r="J64" s="8"/>
      <c r="K64" s="8"/>
    </row>
    <row r="65" spans="1:11" x14ac:dyDescent="0.2">
      <c r="A65" s="46"/>
      <c r="B65" s="8"/>
      <c r="C65" s="135" t="s">
        <v>120</v>
      </c>
      <c r="D65" s="44" t="s">
        <v>177</v>
      </c>
      <c r="E65" s="44"/>
      <c r="F65" s="42"/>
      <c r="G65" s="42"/>
      <c r="H65" s="187"/>
      <c r="I65" s="8"/>
      <c r="J65" s="8"/>
      <c r="K65" s="8"/>
    </row>
    <row r="66" spans="1:11" x14ac:dyDescent="0.2">
      <c r="D66" s="233"/>
      <c r="E66" s="233"/>
    </row>
    <row r="67" spans="1:11" x14ac:dyDescent="0.2">
      <c r="A67" s="5"/>
      <c r="B67" s="5" t="s">
        <v>2</v>
      </c>
      <c r="C67" s="143" t="s">
        <v>4</v>
      </c>
      <c r="D67" s="143" t="s">
        <v>140</v>
      </c>
      <c r="E67" s="426" t="s">
        <v>110</v>
      </c>
      <c r="F67" s="427"/>
      <c r="G67" s="5" t="s">
        <v>147</v>
      </c>
      <c r="H67" s="5" t="s">
        <v>146</v>
      </c>
      <c r="I67" s="5" t="s">
        <v>43</v>
      </c>
      <c r="J67" s="5" t="s">
        <v>150</v>
      </c>
      <c r="K67" s="5" t="s">
        <v>112</v>
      </c>
    </row>
    <row r="68" spans="1:11" x14ac:dyDescent="0.2">
      <c r="A68" s="6"/>
      <c r="B68" s="6" t="s">
        <v>38</v>
      </c>
      <c r="C68" s="6"/>
      <c r="D68" s="144" t="s">
        <v>39</v>
      </c>
      <c r="E68" s="409" t="s">
        <v>111</v>
      </c>
      <c r="F68" s="430"/>
      <c r="G68" s="6" t="s">
        <v>39</v>
      </c>
      <c r="H68" s="6" t="s">
        <v>39</v>
      </c>
      <c r="I68" s="6" t="s">
        <v>148</v>
      </c>
      <c r="J68" s="6" t="s">
        <v>151</v>
      </c>
      <c r="K68" s="6" t="s">
        <v>113</v>
      </c>
    </row>
    <row r="69" spans="1:11" x14ac:dyDescent="0.2">
      <c r="A69" s="22"/>
      <c r="B69" s="11" t="s">
        <v>58</v>
      </c>
      <c r="C69" s="11" t="s">
        <v>84</v>
      </c>
      <c r="D69" s="145" t="s">
        <v>85</v>
      </c>
      <c r="E69" s="235" t="s">
        <v>85</v>
      </c>
      <c r="F69" s="234">
        <f>F16</f>
        <v>500</v>
      </c>
      <c r="G69" s="11" t="s">
        <v>40</v>
      </c>
      <c r="H69" s="11" t="s">
        <v>41</v>
      </c>
      <c r="I69" s="11" t="s">
        <v>42</v>
      </c>
      <c r="J69" s="11" t="s">
        <v>86</v>
      </c>
      <c r="K69" s="11" t="s">
        <v>44</v>
      </c>
    </row>
    <row r="70" spans="1:11" x14ac:dyDescent="0.2">
      <c r="A70" s="6"/>
      <c r="B70" s="36">
        <v>1</v>
      </c>
      <c r="C70" s="220">
        <f>C17</f>
        <v>0.6333333333333333</v>
      </c>
      <c r="D70" s="292">
        <f>Varation!E27</f>
        <v>48100</v>
      </c>
      <c r="E70" s="431">
        <f>D70+F69</f>
        <v>48600</v>
      </c>
      <c r="F70" s="432"/>
      <c r="G70" s="259">
        <f>D70-D70</f>
        <v>0</v>
      </c>
      <c r="H70" s="259">
        <f>I17</f>
        <v>0</v>
      </c>
      <c r="I70" s="259">
        <f>H70-H70</f>
        <v>0</v>
      </c>
      <c r="J70" s="59"/>
      <c r="K70" s="40"/>
    </row>
    <row r="71" spans="1:11" x14ac:dyDescent="0.2">
      <c r="A71" s="6"/>
      <c r="B71" s="6"/>
      <c r="C71" s="193"/>
      <c r="D71" s="293"/>
      <c r="E71" s="252"/>
      <c r="F71" s="248"/>
      <c r="G71" s="9"/>
      <c r="H71" s="261"/>
      <c r="I71" s="9"/>
      <c r="J71" s="9"/>
      <c r="K71" s="3"/>
    </row>
    <row r="72" spans="1:11" x14ac:dyDescent="0.2">
      <c r="A72" s="6"/>
      <c r="B72" s="6">
        <v>5</v>
      </c>
      <c r="C72" s="193">
        <f>C19</f>
        <v>0.67592592592592593</v>
      </c>
      <c r="D72" s="293">
        <f>Varation!E35</f>
        <v>48100</v>
      </c>
      <c r="E72" s="436">
        <f>D72+F69</f>
        <v>48600</v>
      </c>
      <c r="F72" s="437"/>
      <c r="G72" s="9">
        <f>D72-D70</f>
        <v>0</v>
      </c>
      <c r="H72" s="261">
        <f>I19</f>
        <v>0</v>
      </c>
      <c r="I72" s="261">
        <f>H72-H70</f>
        <v>0</v>
      </c>
      <c r="J72" s="261">
        <f>I72-G72</f>
        <v>0</v>
      </c>
      <c r="K72" s="74">
        <f>E72-G72</f>
        <v>48600</v>
      </c>
    </row>
    <row r="73" spans="1:11" x14ac:dyDescent="0.2">
      <c r="A73" s="6"/>
      <c r="B73" s="6"/>
      <c r="C73" s="193"/>
      <c r="D73" s="293"/>
      <c r="E73" s="202"/>
      <c r="F73" s="295"/>
      <c r="G73" s="9"/>
      <c r="H73" s="261"/>
      <c r="I73" s="9"/>
      <c r="J73" s="9"/>
      <c r="K73" s="74"/>
    </row>
    <row r="74" spans="1:11" x14ac:dyDescent="0.2">
      <c r="A74" s="34" t="s">
        <v>127</v>
      </c>
      <c r="B74" s="6">
        <v>6</v>
      </c>
      <c r="C74" s="193">
        <f>C21</f>
        <v>0.6777777777777777</v>
      </c>
      <c r="D74" s="293">
        <f>Varation!E37</f>
        <v>48250</v>
      </c>
      <c r="E74" s="436">
        <f>D74+F69</f>
        <v>48750</v>
      </c>
      <c r="F74" s="437"/>
      <c r="G74" s="9">
        <f>D74-D70</f>
        <v>150</v>
      </c>
      <c r="H74" s="261">
        <f>I21</f>
        <v>0</v>
      </c>
      <c r="I74" s="261">
        <f>H74-H70</f>
        <v>0</v>
      </c>
      <c r="J74" s="261">
        <f>I74-G74</f>
        <v>-150</v>
      </c>
      <c r="K74" s="74">
        <f>E74-G74</f>
        <v>48600</v>
      </c>
    </row>
    <row r="75" spans="1:11" x14ac:dyDescent="0.2">
      <c r="A75" s="6"/>
      <c r="B75" s="6"/>
      <c r="C75" s="193"/>
      <c r="D75" s="293"/>
      <c r="E75" s="202"/>
      <c r="F75" s="295"/>
      <c r="G75" s="9"/>
      <c r="H75" s="261"/>
      <c r="I75" s="9"/>
      <c r="J75" s="9"/>
      <c r="K75" s="74"/>
    </row>
    <row r="76" spans="1:11" x14ac:dyDescent="0.2">
      <c r="A76" s="6"/>
      <c r="B76" s="6">
        <v>7</v>
      </c>
      <c r="C76" s="193">
        <f>C23</f>
        <v>0.68819444444444444</v>
      </c>
      <c r="D76" s="293">
        <f>Varation!E39</f>
        <v>48150</v>
      </c>
      <c r="E76" s="436">
        <f>D76+F69</f>
        <v>48650</v>
      </c>
      <c r="F76" s="437"/>
      <c r="G76" s="9">
        <f>D76-D70</f>
        <v>50</v>
      </c>
      <c r="H76" s="261">
        <f>I23</f>
        <v>0</v>
      </c>
      <c r="I76" s="261">
        <f>H76-H70</f>
        <v>0</v>
      </c>
      <c r="J76" s="261">
        <f>I76-G76</f>
        <v>-50</v>
      </c>
      <c r="K76" s="74">
        <f>E76-G76</f>
        <v>48600</v>
      </c>
    </row>
    <row r="77" spans="1:11" x14ac:dyDescent="0.2">
      <c r="A77" s="6"/>
      <c r="B77" s="6"/>
      <c r="C77" s="193"/>
      <c r="D77" s="293"/>
      <c r="E77" s="202"/>
      <c r="F77" s="295"/>
      <c r="G77" s="9"/>
      <c r="H77" s="261"/>
      <c r="I77" s="9"/>
      <c r="J77" s="9"/>
      <c r="K77" s="74"/>
    </row>
    <row r="78" spans="1:11" x14ac:dyDescent="0.2">
      <c r="A78" s="6"/>
      <c r="B78" s="7">
        <v>8</v>
      </c>
      <c r="C78" s="249">
        <f>C25</f>
        <v>0.69166666666666676</v>
      </c>
      <c r="D78" s="294">
        <f>Varation!E41</f>
        <v>48333</v>
      </c>
      <c r="E78" s="439">
        <f>D78+F69</f>
        <v>48833</v>
      </c>
      <c r="F78" s="440"/>
      <c r="G78" s="250">
        <f>D78-D70</f>
        <v>233</v>
      </c>
      <c r="H78" s="300">
        <f>I25</f>
        <v>0</v>
      </c>
      <c r="I78" s="300">
        <f>H78-H70</f>
        <v>0</v>
      </c>
      <c r="J78" s="300">
        <f>I78-G78</f>
        <v>-233</v>
      </c>
      <c r="K78" s="250">
        <f>E78-G78</f>
        <v>48600</v>
      </c>
    </row>
    <row r="79" spans="1:11" x14ac:dyDescent="0.2">
      <c r="A79" s="6"/>
      <c r="B79" s="200" t="s">
        <v>168</v>
      </c>
      <c r="C79" s="125" t="s">
        <v>45</v>
      </c>
      <c r="D79" s="126">
        <f>AVERAGE(D72,D74,D76,D78)</f>
        <v>48208.25</v>
      </c>
      <c r="E79" s="126"/>
      <c r="F79" s="125" t="s">
        <v>49</v>
      </c>
      <c r="G79" s="125">
        <v>1.745E-2</v>
      </c>
      <c r="H79" s="125" t="s">
        <v>69</v>
      </c>
      <c r="I79" s="126">
        <f>G79*D79</f>
        <v>841.23396249999996</v>
      </c>
      <c r="J79" s="127" t="s">
        <v>46</v>
      </c>
      <c r="K79" s="201">
        <f>AVERAGE(K72,K74,K76,K78)</f>
        <v>48600</v>
      </c>
    </row>
    <row r="80" spans="1:11" x14ac:dyDescent="0.2">
      <c r="A80" s="6"/>
      <c r="B80" s="200"/>
      <c r="C80" s="127" t="s">
        <v>81</v>
      </c>
      <c r="D80" s="126">
        <f>D79*Inclination!P52</f>
        <v>0</v>
      </c>
      <c r="E80" s="126"/>
      <c r="F80" s="101" t="s">
        <v>48</v>
      </c>
      <c r="G80" s="127">
        <f>G79*D80</f>
        <v>0</v>
      </c>
      <c r="H80" s="125"/>
      <c r="I80" s="125"/>
      <c r="J80" s="125"/>
      <c r="K80" s="201"/>
    </row>
    <row r="81" spans="1:11" x14ac:dyDescent="0.2">
      <c r="A81" s="7"/>
      <c r="B81" s="128"/>
      <c r="C81" s="109"/>
      <c r="D81" s="130"/>
      <c r="E81" s="130"/>
      <c r="F81" s="109"/>
      <c r="G81" s="109"/>
      <c r="H81" s="130"/>
      <c r="I81" s="109" t="s">
        <v>153</v>
      </c>
      <c r="J81" s="302">
        <f>AVERAGE(J72,J74,J76,J78)</f>
        <v>-108.25</v>
      </c>
      <c r="K81" s="131"/>
    </row>
    <row r="82" spans="1:11" x14ac:dyDescent="0.2">
      <c r="A82" s="70"/>
      <c r="B82" s="70"/>
      <c r="C82" s="70"/>
      <c r="D82" s="70"/>
      <c r="E82" s="70"/>
      <c r="F82" s="70"/>
      <c r="G82" s="70"/>
      <c r="H82" s="70"/>
      <c r="I82" s="70"/>
      <c r="J82" s="70"/>
      <c r="K82" s="70"/>
    </row>
    <row r="83" spans="1:11" ht="13.1" x14ac:dyDescent="0.25">
      <c r="A83" s="72"/>
      <c r="B83" s="301" t="s">
        <v>152</v>
      </c>
      <c r="C83" s="122"/>
      <c r="D83" s="123"/>
      <c r="E83" s="123"/>
      <c r="F83" s="124"/>
      <c r="G83" s="206"/>
      <c r="H83" s="195"/>
      <c r="I83" s="242" t="s">
        <v>80</v>
      </c>
      <c r="J83" s="44"/>
      <c r="K83" s="79"/>
    </row>
    <row r="84" spans="1:11" x14ac:dyDescent="0.2">
      <c r="A84" s="72"/>
      <c r="I84" s="72"/>
      <c r="J84" s="79"/>
      <c r="K84" s="72"/>
    </row>
    <row r="85" spans="1:11" x14ac:dyDescent="0.2">
      <c r="A85" s="72"/>
      <c r="B85" s="78"/>
      <c r="C85" s="79"/>
      <c r="D85" s="79"/>
      <c r="E85" s="79"/>
      <c r="F85" s="79"/>
      <c r="G85" s="79"/>
      <c r="H85" s="79"/>
      <c r="I85" s="72"/>
      <c r="J85" s="72"/>
      <c r="K85" s="72"/>
    </row>
    <row r="86" spans="1:11" x14ac:dyDescent="0.2">
      <c r="A86" s="75"/>
      <c r="B86" s="76"/>
      <c r="C86" s="76" t="s">
        <v>128</v>
      </c>
      <c r="D86" s="77"/>
      <c r="E86" s="77"/>
      <c r="F86" s="61"/>
      <c r="G86" s="61"/>
      <c r="H86" s="61"/>
      <c r="I86" s="61"/>
      <c r="J86" s="61"/>
      <c r="K86" s="61"/>
    </row>
    <row r="87" spans="1:11" x14ac:dyDescent="0.2">
      <c r="A87" s="61"/>
      <c r="B87" s="61"/>
      <c r="C87" s="63"/>
      <c r="D87" s="63"/>
      <c r="E87" s="23"/>
      <c r="F87" s="23"/>
      <c r="G87" s="63"/>
      <c r="H87" s="63"/>
      <c r="I87" s="63"/>
      <c r="J87" s="63"/>
      <c r="K87" s="63"/>
    </row>
    <row r="88" spans="1:11" x14ac:dyDescent="0.2">
      <c r="A88" s="61"/>
      <c r="B88" s="61"/>
      <c r="C88" s="5" t="s">
        <v>56</v>
      </c>
      <c r="D88" s="147" t="s">
        <v>12</v>
      </c>
      <c r="E88" s="426" t="s">
        <v>32</v>
      </c>
      <c r="F88" s="427"/>
      <c r="G88" s="2" t="s">
        <v>39</v>
      </c>
      <c r="H88" s="5" t="s">
        <v>51</v>
      </c>
      <c r="I88" s="5" t="s">
        <v>6</v>
      </c>
      <c r="J88" s="2" t="s">
        <v>7</v>
      </c>
      <c r="K88" s="5" t="s">
        <v>29</v>
      </c>
    </row>
    <row r="89" spans="1:11" x14ac:dyDescent="0.2">
      <c r="A89" s="61"/>
      <c r="B89" s="61"/>
      <c r="C89" s="7"/>
      <c r="D89" s="145" t="s">
        <v>77</v>
      </c>
      <c r="E89" s="411" t="s">
        <v>77</v>
      </c>
      <c r="F89" s="428"/>
      <c r="G89" s="141"/>
      <c r="H89" s="7" t="s">
        <v>55</v>
      </c>
      <c r="I89" s="7" t="s">
        <v>53</v>
      </c>
      <c r="J89" s="7" t="s">
        <v>52</v>
      </c>
      <c r="K89" s="7" t="s">
        <v>54</v>
      </c>
    </row>
    <row r="90" spans="1:11" x14ac:dyDescent="0.2">
      <c r="A90" s="61"/>
      <c r="B90" s="61"/>
      <c r="C90" s="144"/>
      <c r="D90" s="239">
        <f>TRUNC(Declination!K104)</f>
        <v>-45</v>
      </c>
      <c r="E90" s="238">
        <f>TRUNC(Inclination!S78)</f>
        <v>61</v>
      </c>
      <c r="F90" s="8"/>
      <c r="G90" s="144"/>
      <c r="H90" s="6"/>
      <c r="I90" s="144"/>
      <c r="J90" s="6"/>
      <c r="K90" s="6"/>
    </row>
    <row r="91" spans="1:11" x14ac:dyDescent="0.2">
      <c r="A91" s="86"/>
      <c r="B91" s="86"/>
      <c r="C91" s="240">
        <f>C70</f>
        <v>0.6333333333333333</v>
      </c>
      <c r="D91" s="227">
        <f>(Declination!K104-TRUNC(Declination!K104))*60</f>
        <v>-53.108333333331643</v>
      </c>
      <c r="E91" s="244"/>
      <c r="F91" s="241">
        <f>(Inclination!S78-TRUNC(Inclination!S78))*60</f>
        <v>26.070833333333212</v>
      </c>
      <c r="G91" s="254">
        <f>K79</f>
        <v>48600</v>
      </c>
      <c r="H91" s="227">
        <f>COS(RADIANS(Inclination!S78))*G91</f>
        <v>23238.716495854111</v>
      </c>
      <c r="I91" s="254">
        <f>COS(RADIANS(Declination!K104))*H91</f>
        <v>16176.448183619717</v>
      </c>
      <c r="J91" s="227">
        <f>SIN(RADIANS(Declination!K104))*H91</f>
        <v>-16684.138231786153</v>
      </c>
      <c r="K91" s="227">
        <f>SIN(RADIANS(Inclination!S78))*G91</f>
        <v>42683.978910421625</v>
      </c>
    </row>
    <row r="92" spans="1:11" x14ac:dyDescent="0.2">
      <c r="A92" s="61"/>
      <c r="B92" s="61"/>
      <c r="C92" s="61"/>
      <c r="D92" s="67"/>
      <c r="E92" s="67"/>
      <c r="F92" s="61"/>
      <c r="G92" s="61"/>
      <c r="H92" s="61"/>
      <c r="I92" s="61"/>
      <c r="J92" s="61"/>
      <c r="K92" s="67"/>
    </row>
    <row r="93" spans="1:11" x14ac:dyDescent="0.2">
      <c r="A93" s="61"/>
      <c r="B93" s="61"/>
      <c r="C93" s="61"/>
      <c r="D93" s="67"/>
      <c r="E93" s="67"/>
      <c r="F93" s="61"/>
      <c r="G93" s="61"/>
      <c r="H93" s="61"/>
      <c r="I93" s="61"/>
      <c r="J93" s="61"/>
      <c r="K93" s="61"/>
    </row>
    <row r="94" spans="1:11" x14ac:dyDescent="0.2">
      <c r="A94" s="61"/>
      <c r="B94" s="61"/>
      <c r="C94" s="82" t="s">
        <v>129</v>
      </c>
      <c r="D94" s="67"/>
      <c r="E94" s="67"/>
      <c r="F94" s="61"/>
      <c r="G94" s="61"/>
      <c r="H94" s="61"/>
      <c r="I94" s="61"/>
      <c r="J94" s="61"/>
      <c r="K94" s="61"/>
    </row>
    <row r="95" spans="1:11" x14ac:dyDescent="0.2">
      <c r="A95" s="61"/>
      <c r="B95" s="61"/>
      <c r="C95" s="61"/>
      <c r="D95" s="61"/>
      <c r="E95" s="61"/>
      <c r="F95" s="61"/>
      <c r="G95" s="61"/>
      <c r="H95" s="61"/>
      <c r="I95" s="61"/>
      <c r="J95" s="61"/>
      <c r="K95" s="61"/>
    </row>
    <row r="96" spans="1:11" ht="15.05" x14ac:dyDescent="0.25">
      <c r="A96" s="61"/>
      <c r="B96" s="61"/>
      <c r="C96" s="223"/>
      <c r="D96" s="223" t="s">
        <v>93</v>
      </c>
      <c r="E96" s="223"/>
      <c r="F96" s="434" t="s">
        <v>94</v>
      </c>
      <c r="G96" s="418"/>
      <c r="H96" s="179" t="s">
        <v>95</v>
      </c>
      <c r="I96" s="417" t="s">
        <v>96</v>
      </c>
      <c r="J96" s="418"/>
      <c r="K96" s="224" t="s">
        <v>97</v>
      </c>
    </row>
    <row r="97" spans="1:12" x14ac:dyDescent="0.2">
      <c r="A97" s="61"/>
      <c r="B97" s="61"/>
      <c r="C97" s="144" t="s">
        <v>56</v>
      </c>
      <c r="D97" s="83"/>
      <c r="E97" s="83"/>
      <c r="F97" s="435"/>
      <c r="G97" s="430"/>
      <c r="H97" s="3" t="s">
        <v>83</v>
      </c>
      <c r="I97" s="419"/>
      <c r="J97" s="420"/>
      <c r="K97" s="222" t="s">
        <v>174</v>
      </c>
    </row>
    <row r="98" spans="1:12" x14ac:dyDescent="0.2">
      <c r="A98" s="61"/>
      <c r="B98" s="61"/>
      <c r="C98" s="144"/>
      <c r="D98" s="141" t="s">
        <v>57</v>
      </c>
      <c r="E98" s="144"/>
      <c r="F98" s="433" t="s">
        <v>88</v>
      </c>
      <c r="G98" s="420"/>
      <c r="H98" s="4" t="s">
        <v>57</v>
      </c>
      <c r="I98" s="421" t="s">
        <v>88</v>
      </c>
      <c r="J98" s="420"/>
      <c r="K98" s="55"/>
    </row>
    <row r="99" spans="1:12" x14ac:dyDescent="0.2">
      <c r="A99" s="61"/>
      <c r="B99" s="61"/>
      <c r="C99" s="5"/>
      <c r="D99" s="23"/>
      <c r="E99" s="407">
        <f>Declination!K104-Declination!N93</f>
        <v>-45.885138888888861</v>
      </c>
      <c r="F99" s="438"/>
      <c r="G99" s="208" t="s">
        <v>18</v>
      </c>
      <c r="H99" s="8"/>
      <c r="I99" s="263">
        <f>Inclination!S78-Inclination!N70</f>
        <v>61.434513888888887</v>
      </c>
      <c r="J99" s="208" t="s">
        <v>18</v>
      </c>
      <c r="K99" s="229"/>
    </row>
    <row r="100" spans="1:12" x14ac:dyDescent="0.2">
      <c r="A100" s="61"/>
      <c r="B100" s="61"/>
      <c r="C100" s="6"/>
      <c r="D100" s="23" t="s">
        <v>156</v>
      </c>
      <c r="E100" s="144"/>
      <c r="F100" s="231">
        <f>TRUNC(E99)</f>
        <v>-45</v>
      </c>
      <c r="G100" s="213" t="s">
        <v>87</v>
      </c>
      <c r="H100" s="84" t="s">
        <v>156</v>
      </c>
      <c r="I100" s="236">
        <f>TRUNC(I99)</f>
        <v>61</v>
      </c>
      <c r="J100" s="213" t="s">
        <v>87</v>
      </c>
      <c r="K100" s="3"/>
    </row>
    <row r="101" spans="1:12" x14ac:dyDescent="0.2">
      <c r="A101" s="86"/>
      <c r="B101" s="86"/>
      <c r="C101" s="221">
        <f>C91</f>
        <v>0.6333333333333333</v>
      </c>
      <c r="D101" s="254"/>
      <c r="E101" s="228"/>
      <c r="F101" s="232">
        <f>(E99-TRUNC(E99))*60</f>
        <v>-53.108333333331643</v>
      </c>
      <c r="G101" s="214" t="s">
        <v>79</v>
      </c>
      <c r="H101" s="241"/>
      <c r="I101" s="237">
        <f>(I99-TRUNC(I99))*60</f>
        <v>26.070833333333212</v>
      </c>
      <c r="J101" s="214" t="s">
        <v>79</v>
      </c>
      <c r="K101" s="230">
        <f>G91-D70</f>
        <v>500</v>
      </c>
    </row>
    <row r="102" spans="1:12" x14ac:dyDescent="0.2">
      <c r="A102" s="21"/>
      <c r="B102" s="21"/>
      <c r="C102" s="21"/>
      <c r="D102" s="21"/>
      <c r="E102" s="21"/>
      <c r="F102" s="21"/>
      <c r="G102" s="60"/>
      <c r="H102" s="198"/>
      <c r="I102" s="21"/>
      <c r="J102" s="21"/>
      <c r="K102" s="21"/>
    </row>
    <row r="103" spans="1:12" x14ac:dyDescent="0.2">
      <c r="A103" s="207"/>
      <c r="B103" s="207"/>
      <c r="C103" s="111" t="s">
        <v>154</v>
      </c>
      <c r="D103" s="93"/>
      <c r="E103" s="94"/>
      <c r="F103" s="243"/>
      <c r="G103" s="111" t="s">
        <v>155</v>
      </c>
      <c r="H103" s="212"/>
      <c r="I103" s="303"/>
      <c r="J103" s="207"/>
      <c r="K103" s="207" t="s">
        <v>100</v>
      </c>
    </row>
    <row r="104" spans="1:12" x14ac:dyDescent="0.2">
      <c r="C104" s="94"/>
      <c r="D104" s="94"/>
      <c r="E104" s="94"/>
      <c r="H104" s="10"/>
      <c r="K104" s="8"/>
    </row>
    <row r="106" spans="1:12" x14ac:dyDescent="0.2">
      <c r="C106" s="330" t="s">
        <v>173</v>
      </c>
      <c r="D106" s="331">
        <f>((Declination!R95-Declination!R93+Declination!R99-Declination!R97)/4)*H91/57.2958</f>
        <v>2.0279598588290089</v>
      </c>
      <c r="F106" s="33"/>
      <c r="G106" s="101"/>
      <c r="H106" s="332"/>
      <c r="I106" s="330" t="s">
        <v>172</v>
      </c>
      <c r="J106" s="331">
        <f>((Inclination!S71-Inclination!S73+Inclination!S75-Inclination!S77)/4)*G91/57.29578</f>
        <v>210.34926132430499</v>
      </c>
    </row>
    <row r="109" spans="1:12" ht="13.1" x14ac:dyDescent="0.25">
      <c r="A109" s="52"/>
      <c r="B109" s="52" t="s">
        <v>184</v>
      </c>
    </row>
    <row r="110" spans="1:12" ht="13.1" x14ac:dyDescent="0.25">
      <c r="A110" s="52"/>
      <c r="B110" s="52" t="s">
        <v>158</v>
      </c>
    </row>
    <row r="111" spans="1:12" ht="13.1" x14ac:dyDescent="0.25">
      <c r="A111" s="52"/>
      <c r="B111" s="52" t="s">
        <v>192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</row>
    <row r="112" spans="1:12" ht="13.1" x14ac:dyDescent="0.25">
      <c r="A112" s="52"/>
      <c r="B112" s="334" t="s">
        <v>176</v>
      </c>
      <c r="C112" s="334"/>
      <c r="D112" s="334"/>
      <c r="E112" s="334"/>
      <c r="F112" s="334"/>
      <c r="G112" s="334"/>
      <c r="H112" s="52"/>
      <c r="I112" s="52"/>
      <c r="J112" s="52"/>
      <c r="K112" s="52"/>
      <c r="L112" s="52"/>
    </row>
    <row r="113" spans="1:12" ht="13.1" x14ac:dyDescent="0.25">
      <c r="A113" s="52"/>
      <c r="B113" s="52"/>
      <c r="C113" s="52"/>
      <c r="D113" s="52"/>
      <c r="E113" s="52"/>
      <c r="F113" s="52"/>
      <c r="G113" s="52"/>
      <c r="H113" s="52"/>
      <c r="I113" s="52"/>
      <c r="J113" s="52"/>
      <c r="K113" s="52"/>
      <c r="L113" s="52"/>
    </row>
    <row r="114" spans="1:12" ht="13.1" x14ac:dyDescent="0.25">
      <c r="A114" s="52"/>
      <c r="C114" s="177" t="s">
        <v>115</v>
      </c>
      <c r="D114" s="178"/>
      <c r="E114" s="178"/>
      <c r="F114" s="178"/>
      <c r="G114" s="371"/>
      <c r="H114" s="179" t="s">
        <v>186</v>
      </c>
      <c r="I114" s="46"/>
      <c r="J114" s="46"/>
      <c r="K114" s="46"/>
      <c r="L114" s="46"/>
    </row>
    <row r="115" spans="1:12" ht="13.1" x14ac:dyDescent="0.25">
      <c r="A115" s="52"/>
      <c r="C115" s="180" t="s">
        <v>116</v>
      </c>
      <c r="D115" s="181"/>
      <c r="E115" s="181"/>
      <c r="F115" s="181"/>
      <c r="G115" s="189"/>
      <c r="H115" s="183">
        <f>H7</f>
        <v>45078</v>
      </c>
      <c r="I115" s="46"/>
      <c r="J115" s="48"/>
      <c r="K115" s="46"/>
      <c r="L115" s="48"/>
    </row>
    <row r="116" spans="1:12" ht="13.1" x14ac:dyDescent="0.25">
      <c r="A116" s="52"/>
      <c r="B116" s="8"/>
      <c r="C116" s="180" t="s">
        <v>117</v>
      </c>
      <c r="D116" s="181"/>
      <c r="E116" s="181"/>
      <c r="F116" s="181"/>
      <c r="G116" s="152"/>
      <c r="H116" s="163" t="s">
        <v>118</v>
      </c>
      <c r="I116" s="46"/>
      <c r="J116" s="46"/>
      <c r="K116" s="46"/>
      <c r="L116" s="46"/>
    </row>
    <row r="117" spans="1:12" ht="13.1" x14ac:dyDescent="0.25">
      <c r="A117" s="52"/>
      <c r="B117" s="8"/>
      <c r="C117" s="180" t="s">
        <v>119</v>
      </c>
      <c r="D117" s="181"/>
      <c r="E117" s="181"/>
      <c r="F117" s="181"/>
      <c r="G117" s="153"/>
      <c r="H117" s="154">
        <f>H9</f>
        <v>0.6333333333333333</v>
      </c>
      <c r="I117" s="46"/>
      <c r="J117" s="46"/>
      <c r="K117" s="46"/>
      <c r="L117" s="50"/>
    </row>
    <row r="118" spans="1:12" x14ac:dyDescent="0.2">
      <c r="B118" s="8"/>
      <c r="C118" s="83" t="s">
        <v>123</v>
      </c>
      <c r="D118" s="44"/>
      <c r="E118" s="44"/>
      <c r="F118" s="44"/>
      <c r="G118" s="44"/>
      <c r="H118" s="167" t="s">
        <v>121</v>
      </c>
      <c r="I118" s="8"/>
      <c r="J118" s="8"/>
      <c r="K118" s="8"/>
      <c r="L118" s="27"/>
    </row>
    <row r="119" spans="1:12" x14ac:dyDescent="0.2">
      <c r="A119" s="46"/>
      <c r="B119" s="8"/>
      <c r="C119" s="83" t="s">
        <v>124</v>
      </c>
      <c r="D119" s="44"/>
      <c r="E119" s="44"/>
      <c r="F119" s="44"/>
      <c r="G119" s="44"/>
      <c r="H119" s="395" t="s">
        <v>187</v>
      </c>
      <c r="I119" s="8"/>
      <c r="J119" s="8"/>
      <c r="K119" s="8"/>
      <c r="L119" s="27"/>
    </row>
    <row r="120" spans="1:12" x14ac:dyDescent="0.2">
      <c r="A120" s="46"/>
      <c r="B120" s="8"/>
      <c r="C120" s="135" t="s">
        <v>120</v>
      </c>
      <c r="D120" s="44" t="s">
        <v>177</v>
      </c>
      <c r="E120" s="44"/>
      <c r="F120" s="42"/>
      <c r="G120" s="42"/>
      <c r="H120" s="187"/>
      <c r="I120" s="8"/>
      <c r="J120" s="8"/>
      <c r="K120" s="8"/>
      <c r="L120" s="27"/>
    </row>
    <row r="121" spans="1:12" x14ac:dyDescent="0.2">
      <c r="D121" s="233"/>
      <c r="E121" s="233"/>
    </row>
    <row r="122" spans="1:12" x14ac:dyDescent="0.2">
      <c r="A122" s="5"/>
      <c r="B122" s="5" t="s">
        <v>2</v>
      </c>
      <c r="C122" s="376" t="s">
        <v>4</v>
      </c>
      <c r="D122" s="376" t="s">
        <v>98</v>
      </c>
      <c r="E122" s="426" t="s">
        <v>110</v>
      </c>
      <c r="F122" s="427"/>
      <c r="G122" s="381" t="s">
        <v>5</v>
      </c>
      <c r="H122" s="5" t="s">
        <v>5</v>
      </c>
      <c r="I122" s="5" t="s">
        <v>5</v>
      </c>
      <c r="J122" s="5" t="s">
        <v>43</v>
      </c>
      <c r="K122" s="5" t="s">
        <v>112</v>
      </c>
      <c r="L122" s="21"/>
    </row>
    <row r="123" spans="1:12" x14ac:dyDescent="0.2">
      <c r="A123" s="6"/>
      <c r="B123" s="6" t="s">
        <v>38</v>
      </c>
      <c r="C123" s="6"/>
      <c r="D123" s="377" t="s">
        <v>39</v>
      </c>
      <c r="E123" s="409" t="s">
        <v>111</v>
      </c>
      <c r="F123" s="430"/>
      <c r="G123" s="23" t="s">
        <v>51</v>
      </c>
      <c r="H123" s="6" t="s">
        <v>29</v>
      </c>
      <c r="I123" s="6" t="s">
        <v>39</v>
      </c>
      <c r="J123" s="6" t="s">
        <v>149</v>
      </c>
      <c r="K123" s="6" t="s">
        <v>113</v>
      </c>
      <c r="L123" s="21"/>
    </row>
    <row r="124" spans="1:12" x14ac:dyDescent="0.2">
      <c r="A124" s="22"/>
      <c r="B124" s="11" t="s">
        <v>58</v>
      </c>
      <c r="C124" s="11" t="s">
        <v>84</v>
      </c>
      <c r="D124" s="379" t="s">
        <v>85</v>
      </c>
      <c r="E124" s="235" t="s">
        <v>85</v>
      </c>
      <c r="F124" s="342">
        <f>F16</f>
        <v>500</v>
      </c>
      <c r="G124" s="142" t="s">
        <v>40</v>
      </c>
      <c r="H124" s="11" t="s">
        <v>41</v>
      </c>
      <c r="I124" s="11" t="s">
        <v>42</v>
      </c>
      <c r="J124" s="11" t="s">
        <v>86</v>
      </c>
      <c r="K124" s="11" t="s">
        <v>44</v>
      </c>
      <c r="L124" s="60"/>
    </row>
    <row r="125" spans="1:12" x14ac:dyDescent="0.2">
      <c r="A125" s="6"/>
      <c r="B125" s="36">
        <v>1</v>
      </c>
      <c r="C125" s="220">
        <f>Varation!B45</f>
        <v>0.6333333333333333</v>
      </c>
      <c r="D125" s="292">
        <f>Varation!F45</f>
        <v>48100</v>
      </c>
      <c r="E125" s="431">
        <f>D125+F124</f>
        <v>48600</v>
      </c>
      <c r="F125" s="432"/>
      <c r="G125" s="398">
        <f>Varation!J45</f>
        <v>0</v>
      </c>
      <c r="H125" s="59">
        <f>Varation!E45</f>
        <v>0</v>
      </c>
      <c r="I125" s="399">
        <f>SQRT(G125^2+H125^2)</f>
        <v>0</v>
      </c>
      <c r="J125" s="259">
        <f>I125-I125</f>
        <v>0</v>
      </c>
      <c r="K125" s="40"/>
      <c r="L125" s="8"/>
    </row>
    <row r="126" spans="1:12" x14ac:dyDescent="0.2">
      <c r="A126" s="6"/>
      <c r="B126" s="6"/>
      <c r="C126" s="193"/>
      <c r="D126" s="252"/>
      <c r="E126" s="252"/>
      <c r="F126" s="372"/>
      <c r="G126" s="298"/>
      <c r="H126" s="260"/>
      <c r="I126" s="399"/>
      <c r="J126" s="204"/>
      <c r="K126" s="3"/>
      <c r="L126" s="8"/>
    </row>
    <row r="127" spans="1:12" x14ac:dyDescent="0.2">
      <c r="A127" s="6"/>
      <c r="B127" s="6">
        <v>5</v>
      </c>
      <c r="C127" s="193">
        <f>Varation!B53</f>
        <v>0.67592592592592593</v>
      </c>
      <c r="D127" s="374">
        <f>Varation!F53</f>
        <v>48100</v>
      </c>
      <c r="E127" s="422">
        <f>D127+F124</f>
        <v>48600</v>
      </c>
      <c r="F127" s="423"/>
      <c r="G127" s="298">
        <f>Varation!J53</f>
        <v>0</v>
      </c>
      <c r="H127" s="373">
        <f>Varation!E53</f>
        <v>0</v>
      </c>
      <c r="I127" s="261">
        <f>SQRT(G127^2+H127^2)</f>
        <v>0</v>
      </c>
      <c r="J127" s="204">
        <f>I127-I125</f>
        <v>0</v>
      </c>
      <c r="K127" s="74">
        <f>E127-J127</f>
        <v>48600</v>
      </c>
      <c r="L127" s="8"/>
    </row>
    <row r="128" spans="1:12" x14ac:dyDescent="0.2">
      <c r="A128" s="6"/>
      <c r="B128" s="6"/>
      <c r="C128" s="193"/>
      <c r="D128" s="374"/>
      <c r="E128" s="374"/>
      <c r="F128" s="375"/>
      <c r="G128" s="298"/>
      <c r="H128" s="373"/>
      <c r="I128" s="261"/>
      <c r="J128" s="204"/>
      <c r="K128" s="74"/>
      <c r="L128" s="8"/>
    </row>
    <row r="129" spans="1:12" x14ac:dyDescent="0.2">
      <c r="A129" s="34" t="s">
        <v>127</v>
      </c>
      <c r="B129" s="6">
        <v>6</v>
      </c>
      <c r="C129" s="193">
        <f>Varation!B55</f>
        <v>0.6777777777777777</v>
      </c>
      <c r="D129" s="374">
        <f>Varation!F55</f>
        <v>48250</v>
      </c>
      <c r="E129" s="422">
        <f>D129+F124</f>
        <v>48750</v>
      </c>
      <c r="F129" s="423"/>
      <c r="G129" s="298">
        <f>Varation!J55</f>
        <v>0</v>
      </c>
      <c r="H129" s="373">
        <f>Varation!E55</f>
        <v>0</v>
      </c>
      <c r="I129" s="261">
        <f>SQRT(G129^2+H129^2)</f>
        <v>0</v>
      </c>
      <c r="J129" s="204">
        <f>I129-I125</f>
        <v>0</v>
      </c>
      <c r="K129" s="74">
        <f>E129-J129</f>
        <v>48750</v>
      </c>
      <c r="L129" s="8"/>
    </row>
    <row r="130" spans="1:12" x14ac:dyDescent="0.2">
      <c r="A130" s="6"/>
      <c r="B130" s="6"/>
      <c r="C130" s="193"/>
      <c r="D130" s="374"/>
      <c r="E130" s="374"/>
      <c r="F130" s="375"/>
      <c r="G130" s="298"/>
      <c r="H130" s="373"/>
      <c r="I130" s="261"/>
      <c r="J130" s="204"/>
      <c r="K130" s="74"/>
      <c r="L130" s="8"/>
    </row>
    <row r="131" spans="1:12" x14ac:dyDescent="0.2">
      <c r="A131" s="6"/>
      <c r="B131" s="6">
        <v>7</v>
      </c>
      <c r="C131" s="193">
        <f>Varation!B57</f>
        <v>0.68819444444444444</v>
      </c>
      <c r="D131" s="374">
        <f>Varation!F57</f>
        <v>48150</v>
      </c>
      <c r="E131" s="422">
        <f>D131+F124</f>
        <v>48650</v>
      </c>
      <c r="F131" s="423"/>
      <c r="G131" s="298">
        <f>Varation!J57</f>
        <v>0</v>
      </c>
      <c r="H131" s="373">
        <f>Varation!E57</f>
        <v>0</v>
      </c>
      <c r="I131" s="261">
        <f>SQRT(G131^2+H131^2)</f>
        <v>0</v>
      </c>
      <c r="J131" s="204">
        <f>I131-I125</f>
        <v>0</v>
      </c>
      <c r="K131" s="74">
        <f>E131-J131</f>
        <v>48650</v>
      </c>
      <c r="L131" s="8"/>
    </row>
    <row r="132" spans="1:12" x14ac:dyDescent="0.2">
      <c r="A132" s="6"/>
      <c r="B132" s="6"/>
      <c r="C132" s="193"/>
      <c r="D132" s="374"/>
      <c r="E132" s="374"/>
      <c r="F132" s="375"/>
      <c r="G132" s="298"/>
      <c r="H132" s="373"/>
      <c r="I132" s="261"/>
      <c r="J132" s="204"/>
      <c r="K132" s="74"/>
      <c r="L132" s="8"/>
    </row>
    <row r="133" spans="1:12" x14ac:dyDescent="0.2">
      <c r="A133" s="6"/>
      <c r="B133" s="7">
        <v>8</v>
      </c>
      <c r="C133" s="249">
        <f>Varation!B59</f>
        <v>0.69166666666666676</v>
      </c>
      <c r="D133" s="378">
        <f>Varation!F59</f>
        <v>48333</v>
      </c>
      <c r="E133" s="424">
        <f>D133+F124</f>
        <v>48833</v>
      </c>
      <c r="F133" s="425"/>
      <c r="G133" s="205">
        <f>Varation!J59</f>
        <v>0</v>
      </c>
      <c r="H133" s="380">
        <f>Varation!E59</f>
        <v>0</v>
      </c>
      <c r="I133" s="300">
        <f>SQRT(G133^2+H133^2)</f>
        <v>0</v>
      </c>
      <c r="J133" s="205">
        <f>I133-I125</f>
        <v>0</v>
      </c>
      <c r="K133" s="251">
        <f>E133-J133</f>
        <v>48833</v>
      </c>
      <c r="L133" s="8"/>
    </row>
    <row r="134" spans="1:12" x14ac:dyDescent="0.2">
      <c r="A134" s="6"/>
      <c r="B134" s="200" t="s">
        <v>168</v>
      </c>
      <c r="C134" s="125" t="s">
        <v>45</v>
      </c>
      <c r="D134" s="126">
        <f>AVERAGE(D127,D129,D131,D133)</f>
        <v>48208.25</v>
      </c>
      <c r="E134" s="126"/>
      <c r="F134" s="125" t="s">
        <v>49</v>
      </c>
      <c r="G134" s="125">
        <v>1.745E-2</v>
      </c>
      <c r="H134" s="125" t="s">
        <v>69</v>
      </c>
      <c r="I134" s="126">
        <f>G134*D134</f>
        <v>841.23396249999996</v>
      </c>
      <c r="J134" s="127" t="s">
        <v>46</v>
      </c>
      <c r="K134" s="201">
        <f>AVERAGE(K127,K129,K131,K133)</f>
        <v>48708.25</v>
      </c>
      <c r="L134" s="8"/>
    </row>
    <row r="135" spans="1:12" x14ac:dyDescent="0.2">
      <c r="A135" s="6"/>
      <c r="B135" s="200"/>
      <c r="C135" s="127" t="s">
        <v>81</v>
      </c>
      <c r="D135" s="126">
        <f>D134*Inclination!P134</f>
        <v>0</v>
      </c>
      <c r="E135" s="126"/>
      <c r="F135" s="101" t="s">
        <v>48</v>
      </c>
      <c r="G135" s="127">
        <f>G134*D135</f>
        <v>0</v>
      </c>
      <c r="H135" s="125"/>
      <c r="I135" s="125"/>
      <c r="J135" s="125"/>
      <c r="K135" s="201"/>
      <c r="L135" s="8"/>
    </row>
    <row r="136" spans="1:12" x14ac:dyDescent="0.2">
      <c r="A136" s="7"/>
      <c r="B136" s="128"/>
      <c r="C136" s="109"/>
      <c r="D136" s="130"/>
      <c r="E136" s="130"/>
      <c r="F136" s="109"/>
      <c r="G136" s="109"/>
      <c r="H136" s="130"/>
      <c r="I136" s="129"/>
      <c r="J136" s="129"/>
      <c r="K136" s="131"/>
      <c r="L136" s="8"/>
    </row>
    <row r="137" spans="1:12" x14ac:dyDescent="0.2">
      <c r="A137" s="70"/>
      <c r="B137" s="70"/>
      <c r="C137" s="70"/>
      <c r="D137" s="70"/>
      <c r="E137" s="70"/>
      <c r="F137" s="70"/>
      <c r="G137" s="70"/>
      <c r="H137" s="70"/>
      <c r="I137" s="70"/>
      <c r="J137" s="70"/>
      <c r="K137" s="70"/>
      <c r="L137" s="8"/>
    </row>
    <row r="138" spans="1:12" ht="13.1" x14ac:dyDescent="0.25">
      <c r="A138" s="72"/>
      <c r="B138" s="88"/>
      <c r="C138" s="122" t="s">
        <v>91</v>
      </c>
      <c r="D138" s="123"/>
      <c r="E138" s="123"/>
      <c r="F138" s="123"/>
      <c r="G138" s="124"/>
      <c r="H138" s="195"/>
      <c r="I138" s="242" t="s">
        <v>80</v>
      </c>
      <c r="J138" s="44"/>
      <c r="K138" s="79"/>
      <c r="L138" s="8"/>
    </row>
    <row r="139" spans="1:12" x14ac:dyDescent="0.2">
      <c r="A139" s="72"/>
      <c r="I139" s="72"/>
      <c r="J139" s="79"/>
      <c r="K139" s="72"/>
      <c r="L139" s="8"/>
    </row>
    <row r="140" spans="1:12" x14ac:dyDescent="0.2">
      <c r="A140" s="72"/>
      <c r="B140" s="78"/>
      <c r="C140" s="79"/>
      <c r="D140" s="79"/>
      <c r="E140" s="79"/>
      <c r="F140" s="79"/>
      <c r="G140" s="79"/>
      <c r="H140" s="79"/>
      <c r="I140" s="72"/>
      <c r="J140" s="72"/>
      <c r="K140" s="72"/>
      <c r="L140" s="8"/>
    </row>
    <row r="141" spans="1:12" x14ac:dyDescent="0.2">
      <c r="A141" s="75"/>
      <c r="B141" s="76"/>
      <c r="C141" s="76" t="s">
        <v>128</v>
      </c>
      <c r="D141" s="77"/>
      <c r="E141" s="77"/>
      <c r="F141" s="61"/>
      <c r="G141" s="61"/>
      <c r="H141" s="61"/>
      <c r="I141" s="61"/>
      <c r="J141" s="61"/>
      <c r="K141" s="61"/>
      <c r="L141" s="8"/>
    </row>
    <row r="142" spans="1:12" x14ac:dyDescent="0.2">
      <c r="A142" s="61"/>
      <c r="B142" s="61"/>
      <c r="C142" s="63"/>
      <c r="D142" s="63"/>
      <c r="E142" s="23"/>
      <c r="F142" s="23"/>
      <c r="G142" s="63"/>
      <c r="H142" s="63"/>
      <c r="I142" s="63"/>
      <c r="J142" s="63"/>
      <c r="K142" s="63"/>
      <c r="L142" s="8"/>
    </row>
    <row r="143" spans="1:12" x14ac:dyDescent="0.2">
      <c r="A143" s="61"/>
      <c r="B143" s="61"/>
      <c r="C143" s="5" t="s">
        <v>56</v>
      </c>
      <c r="D143" s="381" t="s">
        <v>12</v>
      </c>
      <c r="E143" s="426" t="s">
        <v>32</v>
      </c>
      <c r="F143" s="427"/>
      <c r="G143" s="382" t="s">
        <v>39</v>
      </c>
      <c r="H143" s="5" t="s">
        <v>51</v>
      </c>
      <c r="I143" s="5" t="s">
        <v>6</v>
      </c>
      <c r="J143" s="382" t="s">
        <v>7</v>
      </c>
      <c r="K143" s="5" t="s">
        <v>29</v>
      </c>
      <c r="L143" s="8"/>
    </row>
    <row r="144" spans="1:12" x14ac:dyDescent="0.2">
      <c r="A144" s="61"/>
      <c r="B144" s="61"/>
      <c r="C144" s="7"/>
      <c r="D144" s="379" t="s">
        <v>77</v>
      </c>
      <c r="E144" s="411" t="s">
        <v>77</v>
      </c>
      <c r="F144" s="428"/>
      <c r="G144" s="141"/>
      <c r="H144" s="7" t="s">
        <v>55</v>
      </c>
      <c r="I144" s="7" t="s">
        <v>53</v>
      </c>
      <c r="J144" s="7" t="s">
        <v>52</v>
      </c>
      <c r="K144" s="7" t="s">
        <v>54</v>
      </c>
      <c r="L144" s="8"/>
    </row>
    <row r="145" spans="1:12" x14ac:dyDescent="0.2">
      <c r="A145" s="61"/>
      <c r="B145" s="61"/>
      <c r="C145" s="377"/>
      <c r="D145" s="239" t="e">
        <f>TRUNC(Declination!K156)</f>
        <v>#DIV/0!</v>
      </c>
      <c r="E145" s="238" t="e">
        <f>TRUNC(Inclination!S109)</f>
        <v>#DIV/0!</v>
      </c>
      <c r="F145" s="8"/>
      <c r="G145" s="377"/>
      <c r="H145" s="6"/>
      <c r="I145" s="377"/>
      <c r="J145" s="6"/>
      <c r="K145" s="6"/>
      <c r="L145" s="8"/>
    </row>
    <row r="146" spans="1:12" x14ac:dyDescent="0.2">
      <c r="A146" s="86"/>
      <c r="B146" s="86"/>
      <c r="C146" s="240">
        <f>C125</f>
        <v>0.6333333333333333</v>
      </c>
      <c r="D146" s="227" t="e">
        <f>(Declination!K156-TRUNC(Declination!K156))*60</f>
        <v>#DIV/0!</v>
      </c>
      <c r="E146" s="244"/>
      <c r="F146" s="241" t="e">
        <f>(Inclination!S109-TRUNC(Inclination!S109))*60</f>
        <v>#DIV/0!</v>
      </c>
      <c r="G146" s="254">
        <f>K134</f>
        <v>48708.25</v>
      </c>
      <c r="H146" s="227" t="e">
        <f>COS(RADIANS(Inclination!S109))*G146</f>
        <v>#DIV/0!</v>
      </c>
      <c r="I146" s="254" t="e">
        <f>COS(RADIANS(Declination!K156))*H146</f>
        <v>#DIV/0!</v>
      </c>
      <c r="J146" s="227" t="e">
        <f>SIN(RADIANS(Declination!K156))*H146</f>
        <v>#DIV/0!</v>
      </c>
      <c r="K146" s="227" t="e">
        <f>SIN(RADIANS(Inclination!S109))*G146</f>
        <v>#DIV/0!</v>
      </c>
      <c r="L146" s="87"/>
    </row>
    <row r="147" spans="1:12" x14ac:dyDescent="0.2">
      <c r="A147" s="61"/>
      <c r="B147" s="61"/>
      <c r="C147" s="61"/>
      <c r="D147" s="67"/>
      <c r="E147" s="67"/>
      <c r="F147" s="61"/>
      <c r="G147" s="61"/>
      <c r="H147" s="61"/>
      <c r="I147" s="61"/>
      <c r="J147" s="61"/>
      <c r="K147" s="67"/>
      <c r="L147" s="8"/>
    </row>
    <row r="148" spans="1:12" x14ac:dyDescent="0.2">
      <c r="A148" s="61"/>
      <c r="B148" s="61"/>
      <c r="C148" s="61"/>
      <c r="D148" s="67"/>
      <c r="E148" s="67"/>
      <c r="F148" s="61"/>
      <c r="G148" s="61"/>
      <c r="H148" s="61"/>
      <c r="I148" s="61"/>
      <c r="J148" s="61"/>
      <c r="K148" s="61"/>
      <c r="L148" s="8"/>
    </row>
    <row r="149" spans="1:12" x14ac:dyDescent="0.2">
      <c r="A149" s="61"/>
      <c r="B149" s="61"/>
      <c r="C149" s="82" t="s">
        <v>129</v>
      </c>
      <c r="D149" s="67"/>
      <c r="E149" s="67"/>
      <c r="F149" s="61"/>
      <c r="G149" s="61"/>
      <c r="H149" s="61"/>
      <c r="I149" s="67"/>
      <c r="J149" s="61"/>
      <c r="K149" s="61"/>
      <c r="L149" s="8"/>
    </row>
    <row r="150" spans="1:12" x14ac:dyDescent="0.2">
      <c r="A150" s="61"/>
      <c r="B150" s="61"/>
      <c r="C150" s="61"/>
      <c r="D150" s="61"/>
      <c r="E150" s="61"/>
      <c r="F150" s="61"/>
      <c r="G150" s="61"/>
      <c r="H150" s="61"/>
      <c r="I150" s="61"/>
      <c r="J150" s="61"/>
      <c r="K150" s="61"/>
      <c r="L150" s="8"/>
    </row>
    <row r="151" spans="1:12" ht="15.05" x14ac:dyDescent="0.25">
      <c r="A151" s="61"/>
      <c r="B151" s="61"/>
      <c r="C151" s="370"/>
      <c r="D151" s="370" t="s">
        <v>193</v>
      </c>
      <c r="E151" s="417" t="s">
        <v>194</v>
      </c>
      <c r="F151" s="429"/>
      <c r="G151" s="179" t="s">
        <v>95</v>
      </c>
      <c r="H151" s="179" t="s">
        <v>94</v>
      </c>
      <c r="I151" s="417" t="s">
        <v>96</v>
      </c>
      <c r="J151" s="418"/>
      <c r="K151" s="224" t="s">
        <v>97</v>
      </c>
      <c r="L151" s="8"/>
    </row>
    <row r="152" spans="1:12" x14ac:dyDescent="0.2">
      <c r="A152" s="61"/>
      <c r="B152" s="61"/>
      <c r="C152" s="6" t="s">
        <v>56</v>
      </c>
      <c r="D152" s="3"/>
      <c r="E152" s="409"/>
      <c r="F152" s="410"/>
      <c r="G152" s="3"/>
      <c r="H152" s="3"/>
      <c r="I152" s="419"/>
      <c r="J152" s="420"/>
      <c r="K152" s="222" t="s">
        <v>174</v>
      </c>
      <c r="L152" s="8"/>
    </row>
    <row r="153" spans="1:12" x14ac:dyDescent="0.2">
      <c r="A153" s="61"/>
      <c r="B153" s="61"/>
      <c r="C153" s="377"/>
      <c r="D153" s="141" t="s">
        <v>57</v>
      </c>
      <c r="E153" s="411" t="s">
        <v>57</v>
      </c>
      <c r="F153" s="412"/>
      <c r="G153" s="4" t="s">
        <v>57</v>
      </c>
      <c r="H153" s="4" t="s">
        <v>196</v>
      </c>
      <c r="I153" s="421" t="s">
        <v>88</v>
      </c>
      <c r="J153" s="420"/>
      <c r="K153" s="55"/>
      <c r="L153" s="8"/>
    </row>
    <row r="154" spans="1:12" x14ac:dyDescent="0.2">
      <c r="A154" s="61"/>
      <c r="B154" s="61"/>
      <c r="C154" s="5"/>
      <c r="D154" s="23"/>
      <c r="E154" s="407"/>
      <c r="F154" s="408"/>
      <c r="G154" s="208"/>
      <c r="H154" s="8"/>
      <c r="I154" s="263">
        <f>Inclination!S133-Inclination!Q125</f>
        <v>0</v>
      </c>
      <c r="J154" s="208" t="s">
        <v>18</v>
      </c>
      <c r="K154" s="229"/>
      <c r="L154" s="8"/>
    </row>
    <row r="155" spans="1:12" x14ac:dyDescent="0.2">
      <c r="A155" s="61"/>
      <c r="B155" s="61"/>
      <c r="C155" s="6"/>
      <c r="D155" s="23"/>
      <c r="E155" s="415"/>
      <c r="F155" s="416"/>
      <c r="G155" s="213"/>
      <c r="H155" s="8"/>
      <c r="I155" s="236">
        <f>TRUNC(I154)</f>
        <v>0</v>
      </c>
      <c r="J155" s="213" t="s">
        <v>87</v>
      </c>
      <c r="K155" s="3"/>
      <c r="L155" s="8"/>
    </row>
    <row r="156" spans="1:12" x14ac:dyDescent="0.2">
      <c r="A156" s="86"/>
      <c r="B156" s="86"/>
      <c r="C156" s="221">
        <f>C125</f>
        <v>0.6333333333333333</v>
      </c>
      <c r="D156" s="254" t="e">
        <f>I146 - Varation!C45</f>
        <v>#DIV/0!</v>
      </c>
      <c r="E156" s="413" t="e">
        <f>J146 - Varation!D45</f>
        <v>#DIV/0!</v>
      </c>
      <c r="F156" s="414"/>
      <c r="G156" s="401" t="e">
        <f>K146 - Varation!E45</f>
        <v>#DIV/0!</v>
      </c>
      <c r="H156" s="400" t="e">
        <f>(Declination!K156 - Varation!K45)*60</f>
        <v>#DIV/0!</v>
      </c>
      <c r="I156" s="237">
        <f>(I154-TRUNC(I154))*60</f>
        <v>0</v>
      </c>
      <c r="J156" s="214" t="s">
        <v>79</v>
      </c>
      <c r="K156" s="230">
        <f>G146-D125</f>
        <v>608.25</v>
      </c>
      <c r="L156" s="84"/>
    </row>
    <row r="157" spans="1:12" x14ac:dyDescent="0.2">
      <c r="A157" s="21"/>
      <c r="B157" s="21"/>
      <c r="C157" s="21"/>
      <c r="D157" s="21"/>
      <c r="E157" s="21"/>
      <c r="F157" s="21"/>
      <c r="G157" s="60"/>
      <c r="H157" s="198"/>
      <c r="I157" s="21"/>
      <c r="J157" s="21"/>
      <c r="K157" s="21"/>
    </row>
    <row r="158" spans="1:12" x14ac:dyDescent="0.2">
      <c r="A158" s="207"/>
      <c r="B158" s="207"/>
      <c r="C158" s="194" t="s">
        <v>195</v>
      </c>
      <c r="D158" s="209"/>
      <c r="E158" s="210"/>
      <c r="F158" s="243"/>
      <c r="G158" s="197"/>
      <c r="H158" s="303"/>
      <c r="I158" s="303"/>
      <c r="J158" s="207"/>
      <c r="K158" s="207" t="s">
        <v>100</v>
      </c>
      <c r="L158" s="207"/>
    </row>
    <row r="159" spans="1:12" x14ac:dyDescent="0.2">
      <c r="H159" s="10"/>
      <c r="K159" s="8"/>
    </row>
    <row r="160" spans="1:12" x14ac:dyDescent="0.2">
      <c r="C160" s="330" t="s">
        <v>173</v>
      </c>
      <c r="D160" s="331" t="e">
        <f>((Declination!R147-Declination!R145+Declination!R151-Declination!R149)/4)*H146/57.2958</f>
        <v>#DIV/0!</v>
      </c>
      <c r="H160" s="329"/>
      <c r="I160" s="330" t="s">
        <v>172</v>
      </c>
      <c r="J160" s="331" t="e">
        <f>((Inclination!S102-Inclination!S104+Inclination!S106-Inclination!S108)/4)*G146/57.29578</f>
        <v>#DIV/0!</v>
      </c>
    </row>
  </sheetData>
  <mergeCells count="50">
    <mergeCell ref="F98:G98"/>
    <mergeCell ref="I98:J98"/>
    <mergeCell ref="E99:F99"/>
    <mergeCell ref="E78:F78"/>
    <mergeCell ref="E88:F88"/>
    <mergeCell ref="E89:F89"/>
    <mergeCell ref="F96:G96"/>
    <mergeCell ref="I96:J96"/>
    <mergeCell ref="F97:G97"/>
    <mergeCell ref="I97:J97"/>
    <mergeCell ref="E76:F76"/>
    <mergeCell ref="E19:F19"/>
    <mergeCell ref="E21:F21"/>
    <mergeCell ref="E23:F23"/>
    <mergeCell ref="E14:F14"/>
    <mergeCell ref="E15:F15"/>
    <mergeCell ref="E17:F17"/>
    <mergeCell ref="E25:F25"/>
    <mergeCell ref="E46:F46"/>
    <mergeCell ref="E36:F36"/>
    <mergeCell ref="E35:F35"/>
    <mergeCell ref="E67:F67"/>
    <mergeCell ref="E68:F68"/>
    <mergeCell ref="E70:F70"/>
    <mergeCell ref="E72:F72"/>
    <mergeCell ref="E74:F74"/>
    <mergeCell ref="I43:J43"/>
    <mergeCell ref="I44:J44"/>
    <mergeCell ref="F45:G45"/>
    <mergeCell ref="F43:G43"/>
    <mergeCell ref="F44:G44"/>
    <mergeCell ref="I45:J45"/>
    <mergeCell ref="E122:F122"/>
    <mergeCell ref="E123:F123"/>
    <mergeCell ref="E125:F125"/>
    <mergeCell ref="E127:F127"/>
    <mergeCell ref="E129:F129"/>
    <mergeCell ref="I151:J151"/>
    <mergeCell ref="I152:J152"/>
    <mergeCell ref="I153:J153"/>
    <mergeCell ref="E131:F131"/>
    <mergeCell ref="E133:F133"/>
    <mergeCell ref="E143:F143"/>
    <mergeCell ref="E144:F144"/>
    <mergeCell ref="E151:F151"/>
    <mergeCell ref="E154:F154"/>
    <mergeCell ref="E152:F152"/>
    <mergeCell ref="E153:F153"/>
    <mergeCell ref="E156:F156"/>
    <mergeCell ref="E155:F155"/>
  </mergeCells>
  <phoneticPr fontId="0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3"/>
  <sheetViews>
    <sheetView zoomScaleNormal="110" workbookViewId="0">
      <selection activeCell="G25" sqref="G25"/>
    </sheetView>
  </sheetViews>
  <sheetFormatPr defaultColWidth="11.375" defaultRowHeight="12.45" x14ac:dyDescent="0.2"/>
  <cols>
    <col min="1" max="1" width="2.75" customWidth="1"/>
    <col min="2" max="2" width="5.625" customWidth="1"/>
    <col min="3" max="3" width="3.25" customWidth="1"/>
    <col min="4" max="4" width="7" customWidth="1"/>
    <col min="5" max="5" width="3.625" customWidth="1"/>
    <col min="6" max="7" width="2.875" customWidth="1"/>
    <col min="8" max="8" width="3.125" customWidth="1"/>
    <col min="9" max="9" width="2.875" customWidth="1"/>
    <col min="10" max="10" width="5.875" hidden="1" customWidth="1"/>
    <col min="11" max="11" width="2.875" customWidth="1"/>
    <col min="12" max="12" width="9.25" customWidth="1"/>
    <col min="13" max="13" width="0.875" customWidth="1"/>
    <col min="14" max="14" width="7.625" customWidth="1"/>
    <col min="15" max="15" width="1.125" customWidth="1"/>
    <col min="16" max="16" width="7.625" customWidth="1"/>
    <col min="17" max="17" width="7.375" customWidth="1"/>
    <col min="18" max="18" width="8.875" customWidth="1"/>
    <col min="19" max="19" width="8.125" customWidth="1"/>
  </cols>
  <sheetData>
    <row r="1" spans="1:19" ht="15.75" customHeight="1" x14ac:dyDescent="0.25">
      <c r="A1" s="52" t="s">
        <v>184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52"/>
    </row>
    <row r="2" spans="1:19" ht="15.75" customHeight="1" x14ac:dyDescent="0.25">
      <c r="A2" s="52" t="s">
        <v>158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52"/>
    </row>
    <row r="3" spans="1:19" ht="15.75" customHeight="1" x14ac:dyDescent="0.25">
      <c r="A3" s="52" t="s">
        <v>157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52"/>
    </row>
    <row r="4" spans="1:19" ht="15.75" customHeight="1" x14ac:dyDescent="0.25">
      <c r="A4" s="334" t="s">
        <v>176</v>
      </c>
      <c r="B4" s="334"/>
      <c r="C4" s="334"/>
      <c r="D4" s="334"/>
      <c r="E4" s="334"/>
      <c r="F4" s="334"/>
      <c r="G4" s="45"/>
      <c r="H4" s="45"/>
      <c r="I4" s="45"/>
      <c r="J4" s="45"/>
      <c r="K4" s="45"/>
      <c r="L4" s="45"/>
      <c r="M4" s="45"/>
      <c r="N4" s="45"/>
      <c r="O4" s="52"/>
    </row>
    <row r="5" spans="1:19" ht="15.75" customHeight="1" x14ac:dyDescent="0.25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52"/>
    </row>
    <row r="6" spans="1:19" ht="14.1" customHeight="1" x14ac:dyDescent="0.25">
      <c r="B6" s="177" t="s">
        <v>115</v>
      </c>
      <c r="C6" s="178"/>
      <c r="D6" s="178"/>
      <c r="E6" s="178"/>
      <c r="F6" s="178"/>
      <c r="G6" s="178"/>
      <c r="H6" s="178"/>
      <c r="I6" s="178"/>
      <c r="J6" s="178"/>
      <c r="K6" s="188"/>
      <c r="L6" s="179" t="s">
        <v>186</v>
      </c>
      <c r="M6" s="45"/>
      <c r="N6" s="45"/>
      <c r="O6" s="52"/>
    </row>
    <row r="7" spans="1:19" ht="14.1" customHeight="1" x14ac:dyDescent="0.25">
      <c r="B7" s="180" t="s">
        <v>116</v>
      </c>
      <c r="C7" s="181"/>
      <c r="D7" s="181"/>
      <c r="E7" s="181"/>
      <c r="F7" s="181"/>
      <c r="G7" s="181"/>
      <c r="H7" s="182"/>
      <c r="I7" s="181"/>
      <c r="J7" s="182"/>
      <c r="K7" s="189"/>
      <c r="L7" s="183">
        <f>Varation!A2</f>
        <v>45078</v>
      </c>
      <c r="M7" s="45"/>
      <c r="N7" s="45"/>
      <c r="O7" s="52"/>
    </row>
    <row r="8" spans="1:19" ht="14.1" customHeight="1" x14ac:dyDescent="0.25">
      <c r="A8" s="8"/>
      <c r="B8" s="180" t="s">
        <v>117</v>
      </c>
      <c r="C8" s="181"/>
      <c r="D8" s="181"/>
      <c r="E8" s="181"/>
      <c r="F8" s="181"/>
      <c r="G8" s="181"/>
      <c r="H8" s="181"/>
      <c r="I8" s="181"/>
      <c r="J8" s="181"/>
      <c r="K8" s="152"/>
      <c r="L8" s="163" t="s">
        <v>118</v>
      </c>
      <c r="M8" s="45"/>
      <c r="N8" s="45"/>
      <c r="O8" s="52"/>
    </row>
    <row r="9" spans="1:19" ht="14.1" customHeight="1" x14ac:dyDescent="0.25">
      <c r="A9" s="8"/>
      <c r="B9" s="180" t="s">
        <v>119</v>
      </c>
      <c r="C9" s="181"/>
      <c r="D9" s="181"/>
      <c r="E9" s="181"/>
      <c r="F9" s="181"/>
      <c r="G9" s="181"/>
      <c r="H9" s="181"/>
      <c r="I9" s="181"/>
      <c r="J9" s="184"/>
      <c r="K9" s="153"/>
      <c r="L9" s="154">
        <f>Varation!B2</f>
        <v>0.6333333333333333</v>
      </c>
      <c r="M9" s="45"/>
      <c r="N9" s="45"/>
      <c r="O9" s="52"/>
    </row>
    <row r="10" spans="1:19" ht="14.1" customHeight="1" x14ac:dyDescent="0.25">
      <c r="A10" s="8"/>
      <c r="B10" s="83" t="s">
        <v>123</v>
      </c>
      <c r="C10" s="44"/>
      <c r="D10" s="44"/>
      <c r="E10" s="44"/>
      <c r="F10" s="44"/>
      <c r="G10" s="44"/>
      <c r="H10" s="44"/>
      <c r="I10" s="44"/>
      <c r="J10" s="185"/>
      <c r="K10" s="44"/>
      <c r="L10" s="213" t="s">
        <v>125</v>
      </c>
      <c r="M10" s="45"/>
      <c r="N10" s="45"/>
      <c r="O10" s="52"/>
    </row>
    <row r="11" spans="1:19" ht="14.1" customHeight="1" x14ac:dyDescent="0.25">
      <c r="A11" s="8"/>
      <c r="B11" s="83" t="s">
        <v>124</v>
      </c>
      <c r="C11" s="44"/>
      <c r="D11" s="44"/>
      <c r="E11" s="44"/>
      <c r="F11" s="44"/>
      <c r="G11" s="44"/>
      <c r="H11" s="44"/>
      <c r="I11" s="44"/>
      <c r="J11" s="185"/>
      <c r="K11" s="44"/>
      <c r="L11" s="213" t="s">
        <v>122</v>
      </c>
      <c r="M11" s="45"/>
      <c r="N11" s="45"/>
      <c r="O11" s="52"/>
    </row>
    <row r="12" spans="1:19" ht="14.1" customHeight="1" x14ac:dyDescent="0.2">
      <c r="A12" s="8"/>
      <c r="B12" s="135" t="s">
        <v>120</v>
      </c>
      <c r="C12" s="42"/>
      <c r="D12" s="42" t="s">
        <v>177</v>
      </c>
      <c r="E12" s="42"/>
      <c r="F12" s="42"/>
      <c r="G12" s="42"/>
      <c r="H12" s="42"/>
      <c r="I12" s="42"/>
      <c r="J12" s="186"/>
      <c r="K12" s="42"/>
      <c r="L12" s="190"/>
      <c r="M12" s="1"/>
      <c r="N12" s="1"/>
    </row>
    <row r="13" spans="1:19" x14ac:dyDescent="0.2">
      <c r="A13" s="1"/>
      <c r="B13" s="1"/>
      <c r="C13" s="1"/>
      <c r="D13" s="1"/>
      <c r="E13" s="32"/>
      <c r="F13" s="32"/>
      <c r="G13" s="32"/>
      <c r="H13" s="32"/>
      <c r="I13" s="32"/>
      <c r="J13" s="1"/>
      <c r="K13" s="1"/>
      <c r="L13" s="1"/>
      <c r="M13" s="1"/>
      <c r="N13" s="1"/>
    </row>
    <row r="14" spans="1:19" ht="14.9" customHeight="1" x14ac:dyDescent="0.2">
      <c r="A14" s="5"/>
      <c r="B14" s="5" t="s">
        <v>1</v>
      </c>
      <c r="C14" s="5" t="s">
        <v>2</v>
      </c>
      <c r="D14" s="143" t="s">
        <v>4</v>
      </c>
      <c r="E14" s="441" t="s">
        <v>138</v>
      </c>
      <c r="F14" s="442"/>
      <c r="G14" s="443"/>
      <c r="H14" s="447"/>
      <c r="I14" s="448"/>
      <c r="J14" s="448"/>
      <c r="K14" s="449"/>
      <c r="L14" s="5"/>
      <c r="M14" s="143"/>
      <c r="N14" s="143" t="s">
        <v>5</v>
      </c>
      <c r="O14" s="2"/>
      <c r="P14" s="5" t="s">
        <v>8</v>
      </c>
      <c r="Q14" s="5" t="s">
        <v>30</v>
      </c>
      <c r="R14" s="5" t="s">
        <v>10</v>
      </c>
      <c r="S14" s="2" t="s">
        <v>11</v>
      </c>
    </row>
    <row r="15" spans="1:19" ht="14.9" customHeight="1" x14ac:dyDescent="0.2">
      <c r="A15" s="6"/>
      <c r="B15" s="6"/>
      <c r="C15" s="6" t="s">
        <v>3</v>
      </c>
      <c r="D15" s="6"/>
      <c r="E15" s="444"/>
      <c r="F15" s="445"/>
      <c r="G15" s="446"/>
      <c r="H15" s="14"/>
      <c r="I15" s="14"/>
      <c r="J15" s="15"/>
      <c r="K15" s="3"/>
      <c r="L15" s="6" t="s">
        <v>24</v>
      </c>
      <c r="M15" s="144"/>
      <c r="N15" s="144" t="s">
        <v>51</v>
      </c>
      <c r="O15" s="3"/>
      <c r="P15" s="6" t="s">
        <v>29</v>
      </c>
      <c r="Q15" s="6"/>
      <c r="R15" s="6" t="s">
        <v>160</v>
      </c>
      <c r="S15" s="3" t="s">
        <v>59</v>
      </c>
    </row>
    <row r="16" spans="1:19" ht="14.9" customHeight="1" x14ac:dyDescent="0.2">
      <c r="A16" s="7"/>
      <c r="B16" s="7"/>
      <c r="C16" s="7" t="s">
        <v>58</v>
      </c>
      <c r="D16" s="11" t="s">
        <v>17</v>
      </c>
      <c r="E16" s="142" t="s">
        <v>18</v>
      </c>
      <c r="F16" s="149" t="s">
        <v>70</v>
      </c>
      <c r="G16" s="12" t="s">
        <v>21</v>
      </c>
      <c r="H16" s="16"/>
      <c r="I16" s="80"/>
      <c r="J16" s="17"/>
      <c r="K16" s="4"/>
      <c r="L16" s="11" t="s">
        <v>23</v>
      </c>
      <c r="M16" s="145"/>
      <c r="N16" s="145" t="s">
        <v>25</v>
      </c>
      <c r="O16" s="12"/>
      <c r="P16" s="11" t="s">
        <v>26</v>
      </c>
      <c r="Q16" s="11" t="s">
        <v>27</v>
      </c>
      <c r="R16" s="11" t="s">
        <v>28</v>
      </c>
      <c r="S16" s="12" t="s">
        <v>31</v>
      </c>
    </row>
    <row r="17" spans="1:19" ht="14.9" customHeight="1" x14ac:dyDescent="0.2">
      <c r="A17" s="36"/>
      <c r="B17" s="36"/>
      <c r="C17" s="36">
        <v>1</v>
      </c>
      <c r="D17" s="220">
        <f>Varation!B2</f>
        <v>0.6333333333333333</v>
      </c>
      <c r="E17" s="146"/>
      <c r="F17" s="146"/>
      <c r="G17" s="148"/>
      <c r="H17" s="31"/>
      <c r="I17" s="38"/>
      <c r="J17" s="39"/>
      <c r="K17" s="40"/>
      <c r="L17" s="37"/>
      <c r="M17" s="203"/>
      <c r="N17" s="257">
        <f>Varation!C2</f>
        <v>0</v>
      </c>
      <c r="O17" s="258"/>
      <c r="P17" s="259">
        <f>Varation!E2</f>
        <v>0</v>
      </c>
      <c r="Q17" s="73">
        <f>(P26*P17-P25*N17)/'F-AbsVal-BaseVal'!I26</f>
        <v>0</v>
      </c>
      <c r="R17" s="73">
        <f>Q17-Q17</f>
        <v>0</v>
      </c>
      <c r="S17" s="30"/>
    </row>
    <row r="18" spans="1:19" ht="14.9" customHeight="1" x14ac:dyDescent="0.25">
      <c r="A18" s="6"/>
      <c r="B18" s="6" t="s">
        <v>134</v>
      </c>
      <c r="C18" s="6">
        <v>5</v>
      </c>
      <c r="D18" s="193">
        <f>Varation!B10</f>
        <v>0.67592592592592593</v>
      </c>
      <c r="E18" s="341">
        <v>297</v>
      </c>
      <c r="F18" s="341">
        <v>50</v>
      </c>
      <c r="G18" s="341">
        <v>3</v>
      </c>
      <c r="H18" s="14">
        <f>ABS(IF(E18&gt;270,359-E18,IF(E18&gt;180,E18-180,IF(E18&gt;90,179-E18,E18))))</f>
        <v>62</v>
      </c>
      <c r="I18" s="14">
        <f>ABS(IF(E18&gt;270,59-F18,IF(E18&gt;180,F18,IF(E18&gt;90,59-F18,F18))))</f>
        <v>9</v>
      </c>
      <c r="J18" s="15"/>
      <c r="K18" s="15">
        <f>ABS(IF(E18&gt;270,60-G18,IF(E18&gt;180,G18,IF(E18&gt;90,60-G18,G18))))</f>
        <v>57</v>
      </c>
      <c r="L18" s="19">
        <f>(((K18/60)+I18)/60)+H18</f>
        <v>62.165833333333332</v>
      </c>
      <c r="M18" s="144"/>
      <c r="N18" s="260">
        <f>Varation!C10</f>
        <v>0</v>
      </c>
      <c r="O18" s="204"/>
      <c r="P18" s="261">
        <f>Varation!E10</f>
        <v>0</v>
      </c>
      <c r="Q18" s="19">
        <f>(P26*P18-P25*N18)/'F-AbsVal-BaseVal'!I26</f>
        <v>0</v>
      </c>
      <c r="R18" s="19">
        <f>Q18-Q17</f>
        <v>0</v>
      </c>
      <c r="S18" s="18">
        <f>L18-R18</f>
        <v>62.165833333333332</v>
      </c>
    </row>
    <row r="19" spans="1:19" ht="14.9" customHeight="1" x14ac:dyDescent="0.2">
      <c r="A19" s="6"/>
      <c r="B19" s="6"/>
      <c r="C19" s="6"/>
      <c r="D19" s="193"/>
      <c r="E19" s="14"/>
      <c r="F19" s="14"/>
      <c r="G19" s="15"/>
      <c r="H19" s="14"/>
      <c r="I19" s="14"/>
      <c r="J19" s="15"/>
      <c r="K19" s="15"/>
      <c r="L19" s="19"/>
      <c r="M19" s="144"/>
      <c r="N19" s="260"/>
      <c r="O19" s="204"/>
      <c r="P19" s="261"/>
      <c r="Q19" s="19"/>
      <c r="R19" s="19"/>
      <c r="S19" s="18"/>
    </row>
    <row r="20" spans="1:19" ht="14.9" customHeight="1" x14ac:dyDescent="0.25">
      <c r="A20" s="6"/>
      <c r="B20" s="6" t="s">
        <v>135</v>
      </c>
      <c r="C20" s="6">
        <v>6</v>
      </c>
      <c r="D20" s="193">
        <f>Varation!B12</f>
        <v>0.6777777777777777</v>
      </c>
      <c r="E20" s="341">
        <v>118</v>
      </c>
      <c r="F20" s="341">
        <v>49</v>
      </c>
      <c r="G20" s="341">
        <v>45</v>
      </c>
      <c r="H20" s="14">
        <f>ABS(IF(E20&gt;270,359-E20,IF(E20&gt;180,E20-180,IF(E20&gt;90,179-E20,E20))))</f>
        <v>61</v>
      </c>
      <c r="I20" s="14">
        <f>ABS(IF(E20&gt;270,59-F20,IF(E20&gt;180,F20,IF(E20&gt;90,59-F20,F20))))</f>
        <v>10</v>
      </c>
      <c r="J20" s="15"/>
      <c r="K20" s="15">
        <f>ABS(IF(E20&gt;270,60-G20,IF(E20&gt;180,G20,IF(E20&gt;90,60-G20,G20))))</f>
        <v>15</v>
      </c>
      <c r="L20" s="19">
        <f>(((K20/60)+I20)/60)+H20</f>
        <v>61.170833333333334</v>
      </c>
      <c r="M20" s="144"/>
      <c r="N20" s="260">
        <f>Varation!C12</f>
        <v>0</v>
      </c>
      <c r="O20" s="204"/>
      <c r="P20" s="261">
        <f>Varation!E12</f>
        <v>0</v>
      </c>
      <c r="Q20" s="19">
        <f>(P26*P20-P25*N20)/'F-AbsVal-BaseVal'!I26</f>
        <v>0</v>
      </c>
      <c r="R20" s="19">
        <f>Q20-Q17</f>
        <v>0</v>
      </c>
      <c r="S20" s="18">
        <f>L20-R20</f>
        <v>61.170833333333334</v>
      </c>
    </row>
    <row r="21" spans="1:19" ht="14.9" customHeight="1" x14ac:dyDescent="0.2">
      <c r="A21" s="34" t="s">
        <v>32</v>
      </c>
      <c r="B21" s="35"/>
      <c r="C21" s="6"/>
      <c r="D21" s="193"/>
      <c r="E21" s="14"/>
      <c r="F21" s="14"/>
      <c r="G21" s="15"/>
      <c r="H21" s="14"/>
      <c r="I21" s="14"/>
      <c r="J21" s="15"/>
      <c r="K21" s="15"/>
      <c r="L21" s="19"/>
      <c r="M21" s="144"/>
      <c r="N21" s="260"/>
      <c r="O21" s="204"/>
      <c r="P21" s="261"/>
      <c r="Q21" s="19"/>
      <c r="R21" s="19"/>
      <c r="S21" s="18"/>
    </row>
    <row r="22" spans="1:19" ht="14.9" customHeight="1" x14ac:dyDescent="0.25">
      <c r="A22" s="6"/>
      <c r="B22" s="6" t="s">
        <v>136</v>
      </c>
      <c r="C22" s="6">
        <v>7</v>
      </c>
      <c r="D22" s="193">
        <f>Varation!B14</f>
        <v>0.68819444444444444</v>
      </c>
      <c r="E22" s="341">
        <v>61</v>
      </c>
      <c r="F22" s="341">
        <v>11</v>
      </c>
      <c r="G22" s="341">
        <v>57</v>
      </c>
      <c r="H22" s="14">
        <f>ABS(IF(E22&gt;270,359-E22,IF(E22&gt;180,E22-180,IF(E22&gt;90,179-E22,E22))))</f>
        <v>61</v>
      </c>
      <c r="I22" s="14">
        <f>ABS(IF(E22&gt;270,59-F22,IF(E22&gt;180,F22,IF(E22&gt;90,59-F22,F22))))</f>
        <v>11</v>
      </c>
      <c r="J22" s="15"/>
      <c r="K22" s="15">
        <f>ABS(IF(E22&gt;270,60-G22,IF(E22&gt;180,G22,IF(E22&gt;90,60-G22,G22))))</f>
        <v>57</v>
      </c>
      <c r="L22" s="19">
        <f>(((K22/60)+I22)/60)+H22</f>
        <v>61.199166666666663</v>
      </c>
      <c r="M22" s="144"/>
      <c r="N22" s="260">
        <f>Varation!C14</f>
        <v>0</v>
      </c>
      <c r="O22" s="204"/>
      <c r="P22" s="261">
        <f>Varation!E14</f>
        <v>0</v>
      </c>
      <c r="Q22" s="19">
        <f>(P26*P22-P25*N22)/'F-AbsVal-BaseVal'!I26</f>
        <v>0</v>
      </c>
      <c r="R22" s="19">
        <f>Q22-Q17</f>
        <v>0</v>
      </c>
      <c r="S22" s="18">
        <f>L22-R22</f>
        <v>61.199166666666663</v>
      </c>
    </row>
    <row r="23" spans="1:19" ht="14.9" customHeight="1" x14ac:dyDescent="0.2">
      <c r="A23" s="9"/>
      <c r="B23" s="13"/>
      <c r="C23" s="22"/>
      <c r="D23" s="193"/>
      <c r="E23" s="25"/>
      <c r="F23" s="14"/>
      <c r="G23" s="15"/>
      <c r="H23" s="14"/>
      <c r="I23" s="14"/>
      <c r="J23" s="15"/>
      <c r="K23" s="15"/>
      <c r="L23" s="19"/>
      <c r="M23" s="202"/>
      <c r="N23" s="260"/>
      <c r="O23" s="204"/>
      <c r="P23" s="261"/>
      <c r="Q23" s="19"/>
      <c r="R23" s="19"/>
      <c r="S23" s="18"/>
    </row>
    <row r="24" spans="1:19" ht="14.9" customHeight="1" x14ac:dyDescent="0.25">
      <c r="A24" s="7"/>
      <c r="B24" s="6" t="s">
        <v>137</v>
      </c>
      <c r="C24" s="6">
        <v>8</v>
      </c>
      <c r="D24" s="193">
        <f>Varation!B16</f>
        <v>0.69166666666666676</v>
      </c>
      <c r="E24" s="341">
        <v>241</v>
      </c>
      <c r="F24" s="341">
        <v>12</v>
      </c>
      <c r="G24" s="341">
        <v>8</v>
      </c>
      <c r="H24" s="14">
        <f>ABS(IF(E24&gt;270,359-E24,IF(E24&gt;180,E24-180,IF(E24&gt;90,179-E24,E24))))</f>
        <v>61</v>
      </c>
      <c r="I24" s="14">
        <f>ABS(IF(E24&gt;270,59-F24,IF(E24&gt;180,F24,IF(E24&gt;90,59-F24,F24))))</f>
        <v>12</v>
      </c>
      <c r="J24" s="15"/>
      <c r="K24" s="15">
        <f>ABS(IF(E24&gt;270,60-G24,IF(E24&gt;180,G24,IF(E24&gt;90,60-G24,G24))))</f>
        <v>8</v>
      </c>
      <c r="L24" s="19">
        <f>(((K24/60)+I24)/60)+H24</f>
        <v>61.202222222222225</v>
      </c>
      <c r="M24" s="144"/>
      <c r="N24" s="262">
        <f>Varation!C16</f>
        <v>0</v>
      </c>
      <c r="O24" s="205"/>
      <c r="P24" s="261">
        <f>Varation!E16</f>
        <v>0</v>
      </c>
      <c r="Q24" s="19">
        <f>(P26*P24-P25*N24)/'F-AbsVal-BaseVal'!I26</f>
        <v>0</v>
      </c>
      <c r="R24" s="19">
        <f>Q24-Q17</f>
        <v>0</v>
      </c>
      <c r="S24" s="18">
        <f>L24-R24</f>
        <v>61.202222222222225</v>
      </c>
    </row>
    <row r="25" spans="1:19" ht="14.25" customHeight="1" x14ac:dyDescent="0.2">
      <c r="A25" s="53"/>
      <c r="B25" s="114" t="s">
        <v>168</v>
      </c>
      <c r="C25" s="115"/>
      <c r="D25" s="116"/>
      <c r="E25" s="116"/>
      <c r="F25" s="116"/>
      <c r="G25" s="116"/>
      <c r="H25" s="117"/>
      <c r="I25" s="117"/>
      <c r="J25" s="117"/>
      <c r="K25" s="117" t="s">
        <v>35</v>
      </c>
      <c r="L25" s="118">
        <f>AVERAGE(L18,L20,L22,L24)</f>
        <v>61.434513888888887</v>
      </c>
      <c r="M25" s="118"/>
      <c r="N25" s="98"/>
      <c r="O25" s="101" t="s">
        <v>37</v>
      </c>
      <c r="P25" s="119">
        <f>SIN(RADIANS(L25))</f>
        <v>0.87827117099632979</v>
      </c>
      <c r="Q25" s="119"/>
      <c r="R25" s="120" t="s">
        <v>34</v>
      </c>
      <c r="S25" s="102">
        <f>AVERAGE(S18,S20,S22,S24)</f>
        <v>61.434513888888887</v>
      </c>
    </row>
    <row r="26" spans="1:19" s="44" customFormat="1" ht="14.25" customHeight="1" x14ac:dyDescent="0.2">
      <c r="A26" s="55"/>
      <c r="B26" s="91"/>
      <c r="C26" s="91"/>
      <c r="D26" s="91"/>
      <c r="E26" s="91"/>
      <c r="F26" s="91"/>
      <c r="G26" s="91"/>
      <c r="H26" s="91"/>
      <c r="I26" s="91"/>
      <c r="J26" s="91"/>
      <c r="K26" s="91"/>
      <c r="L26" s="253"/>
      <c r="M26" s="91"/>
      <c r="N26" s="91"/>
      <c r="O26" s="109" t="s">
        <v>36</v>
      </c>
      <c r="P26" s="108">
        <f>COS(RADIANS(L25))</f>
        <v>0.47816289086119568</v>
      </c>
      <c r="Q26" s="91"/>
      <c r="R26" s="91"/>
      <c r="S26" s="121"/>
    </row>
    <row r="27" spans="1:19" hidden="1" x14ac:dyDescent="0.2"/>
    <row r="29" spans="1:19" ht="13.1" x14ac:dyDescent="0.25">
      <c r="C29" s="111" t="s">
        <v>90</v>
      </c>
      <c r="D29" s="112"/>
      <c r="E29" s="112"/>
      <c r="F29" s="112"/>
      <c r="G29" s="112"/>
      <c r="H29" s="112"/>
      <c r="I29" s="112"/>
      <c r="J29" s="112"/>
      <c r="K29" s="112"/>
      <c r="L29" s="113"/>
      <c r="R29" s="324" t="s">
        <v>183</v>
      </c>
      <c r="S29" s="326">
        <f>((S18+S20-S22-S24)/4)*60</f>
        <v>14.029166666666768</v>
      </c>
    </row>
    <row r="31" spans="1:19" ht="15.75" customHeight="1" x14ac:dyDescent="0.2">
      <c r="C31" s="197"/>
      <c r="D31" s="196"/>
      <c r="E31" s="196"/>
      <c r="F31" s="196"/>
      <c r="G31" s="196"/>
      <c r="H31" s="196"/>
      <c r="I31" s="196"/>
      <c r="J31" s="196"/>
      <c r="K31" s="196"/>
      <c r="L31" s="196"/>
      <c r="M31" s="304"/>
      <c r="N31" s="196"/>
      <c r="O31" s="196"/>
      <c r="P31" s="196"/>
      <c r="Q31" s="33"/>
    </row>
    <row r="32" spans="1:19" ht="13.1" x14ac:dyDescent="0.25">
      <c r="A32" s="33"/>
      <c r="B32" s="181"/>
      <c r="C32" s="181"/>
      <c r="D32" s="181"/>
      <c r="E32" s="181"/>
      <c r="F32" s="181"/>
      <c r="G32" s="181"/>
      <c r="H32" s="181"/>
      <c r="I32" s="181"/>
      <c r="J32" s="181"/>
      <c r="K32" s="152"/>
      <c r="L32" s="152"/>
      <c r="M32" s="305"/>
      <c r="N32" s="305"/>
      <c r="O32" s="306"/>
      <c r="P32" s="33"/>
      <c r="Q32" s="33"/>
      <c r="R32" s="33"/>
      <c r="S32" s="33"/>
    </row>
    <row r="33" spans="1:21" ht="13.1" x14ac:dyDescent="0.25">
      <c r="A33" s="33"/>
      <c r="B33" s="181"/>
      <c r="C33" s="181"/>
      <c r="D33" s="181"/>
      <c r="E33" s="181"/>
      <c r="F33" s="181"/>
      <c r="G33" s="181"/>
      <c r="H33" s="182"/>
      <c r="I33" s="181"/>
      <c r="J33" s="182"/>
      <c r="K33" s="189"/>
      <c r="L33" s="189"/>
      <c r="M33" s="305"/>
      <c r="N33" s="305"/>
      <c r="O33" s="306"/>
      <c r="P33" s="33"/>
      <c r="Q33" s="33"/>
      <c r="R33" s="33"/>
      <c r="S33" s="33"/>
      <c r="U33" s="33"/>
    </row>
    <row r="34" spans="1:21" ht="13.1" x14ac:dyDescent="0.25">
      <c r="A34" s="44"/>
      <c r="B34" s="181"/>
      <c r="C34" s="181"/>
      <c r="D34" s="181"/>
      <c r="E34" s="181"/>
      <c r="F34" s="181"/>
      <c r="G34" s="181"/>
      <c r="H34" s="181"/>
      <c r="I34" s="181"/>
      <c r="J34" s="181"/>
      <c r="K34" s="152"/>
      <c r="L34" s="152"/>
      <c r="M34" s="305"/>
      <c r="N34" s="305"/>
      <c r="O34" s="306"/>
      <c r="P34" s="33"/>
      <c r="Q34" s="33"/>
      <c r="R34" s="33"/>
      <c r="S34" s="33"/>
    </row>
    <row r="35" spans="1:21" ht="13.1" x14ac:dyDescent="0.25">
      <c r="A35" s="44"/>
      <c r="B35" s="181"/>
      <c r="C35" s="181"/>
      <c r="D35" s="181"/>
      <c r="E35" s="181"/>
      <c r="F35" s="181"/>
      <c r="G35" s="181"/>
      <c r="H35" s="181"/>
      <c r="I35" s="181"/>
      <c r="J35" s="184"/>
      <c r="K35" s="153"/>
      <c r="L35" s="153"/>
      <c r="M35" s="305"/>
      <c r="N35" s="305"/>
      <c r="O35" s="306"/>
      <c r="P35" s="33"/>
      <c r="Q35" s="33"/>
      <c r="R35" s="33"/>
      <c r="S35" s="33"/>
    </row>
    <row r="36" spans="1:21" ht="13.1" x14ac:dyDescent="0.25">
      <c r="A36" s="44"/>
      <c r="B36" s="44"/>
      <c r="C36" s="44"/>
      <c r="D36" s="44"/>
      <c r="E36" s="44"/>
      <c r="F36" s="44"/>
      <c r="G36" s="44"/>
      <c r="H36" s="44"/>
      <c r="I36" s="44"/>
      <c r="J36" s="185"/>
      <c r="K36" s="44"/>
      <c r="L36" s="307"/>
      <c r="M36" s="305"/>
      <c r="N36" s="305"/>
      <c r="O36" s="306"/>
      <c r="P36" s="33"/>
      <c r="Q36" s="33"/>
      <c r="R36" s="33"/>
      <c r="S36" s="33"/>
    </row>
    <row r="37" spans="1:21" ht="13.1" x14ac:dyDescent="0.25">
      <c r="A37" s="44"/>
      <c r="B37" s="44"/>
      <c r="C37" s="44"/>
      <c r="D37" s="44"/>
      <c r="E37" s="44"/>
      <c r="F37" s="44"/>
      <c r="G37" s="44"/>
      <c r="H37" s="44"/>
      <c r="I37" s="44"/>
      <c r="J37" s="185"/>
      <c r="K37" s="44"/>
      <c r="L37" s="307"/>
      <c r="M37" s="305"/>
      <c r="N37" s="305"/>
      <c r="O37" s="306"/>
      <c r="P37" s="33"/>
      <c r="Q37" s="33"/>
      <c r="R37" s="33"/>
      <c r="S37" s="33"/>
    </row>
    <row r="38" spans="1:21" x14ac:dyDescent="0.2">
      <c r="A38" s="44"/>
      <c r="B38" s="44"/>
      <c r="C38" s="44"/>
      <c r="D38" s="44"/>
      <c r="E38" s="44"/>
      <c r="F38" s="44"/>
      <c r="G38" s="44"/>
      <c r="H38" s="44"/>
      <c r="I38" s="44"/>
      <c r="J38" s="185"/>
      <c r="K38" s="44"/>
      <c r="L38" s="308"/>
      <c r="M38" s="308"/>
      <c r="N38" s="308"/>
      <c r="O38" s="33"/>
      <c r="P38" s="33"/>
      <c r="Q38" s="33"/>
      <c r="R38" s="33"/>
      <c r="S38" s="33"/>
    </row>
    <row r="39" spans="1:21" x14ac:dyDescent="0.2">
      <c r="A39" s="308"/>
      <c r="B39" s="308"/>
      <c r="C39" s="308"/>
      <c r="D39" s="308"/>
      <c r="E39" s="308"/>
      <c r="F39" s="308"/>
      <c r="G39" s="308"/>
      <c r="H39" s="308"/>
      <c r="I39" s="308"/>
      <c r="J39" s="308"/>
      <c r="K39" s="308"/>
      <c r="L39" s="308"/>
      <c r="M39" s="308"/>
      <c r="N39" s="308"/>
      <c r="O39" s="33"/>
      <c r="P39" s="33"/>
      <c r="Q39" s="33"/>
      <c r="R39" s="33"/>
      <c r="S39" s="33"/>
    </row>
    <row r="40" spans="1:21" ht="12.8" customHeight="1" x14ac:dyDescent="0.2">
      <c r="A40" s="23"/>
      <c r="B40" s="23"/>
      <c r="C40" s="23"/>
      <c r="D40" s="23"/>
      <c r="E40" s="450"/>
      <c r="F40" s="451"/>
      <c r="G40" s="451"/>
      <c r="H40" s="433"/>
      <c r="I40" s="433"/>
      <c r="J40" s="433"/>
      <c r="K40" s="433"/>
      <c r="L40" s="23"/>
      <c r="M40" s="23"/>
      <c r="N40" s="23"/>
      <c r="O40" s="23"/>
      <c r="P40" s="23"/>
      <c r="Q40" s="23"/>
      <c r="R40" s="23"/>
      <c r="S40" s="23"/>
    </row>
    <row r="41" spans="1:21" x14ac:dyDescent="0.2">
      <c r="A41" s="23"/>
      <c r="B41" s="23"/>
      <c r="C41" s="23"/>
      <c r="D41" s="23"/>
      <c r="E41" s="451"/>
      <c r="F41" s="451"/>
      <c r="G41" s="451"/>
      <c r="H41" s="14"/>
      <c r="I41" s="14"/>
      <c r="J41" s="14"/>
      <c r="K41" s="23"/>
      <c r="L41" s="23"/>
      <c r="M41" s="23"/>
      <c r="N41" s="23"/>
      <c r="O41" s="23"/>
      <c r="P41" s="23"/>
      <c r="Q41" s="23"/>
      <c r="R41" s="23"/>
      <c r="S41" s="23"/>
    </row>
    <row r="42" spans="1:21" x14ac:dyDescent="0.2">
      <c r="A42" s="23"/>
      <c r="B42" s="23"/>
      <c r="C42" s="23"/>
      <c r="D42" s="64"/>
      <c r="E42" s="64"/>
      <c r="F42" s="309"/>
      <c r="G42" s="64"/>
      <c r="H42" s="14"/>
      <c r="I42" s="78"/>
      <c r="J42" s="14"/>
      <c r="K42" s="23"/>
      <c r="L42" s="64"/>
      <c r="M42" s="64"/>
      <c r="N42" s="64"/>
      <c r="O42" s="64"/>
      <c r="P42" s="64"/>
      <c r="Q42" s="64"/>
      <c r="R42" s="64"/>
      <c r="S42" s="64"/>
    </row>
    <row r="43" spans="1:21" x14ac:dyDescent="0.2">
      <c r="A43" s="23"/>
      <c r="B43" s="23"/>
      <c r="C43" s="23"/>
      <c r="D43" s="310"/>
      <c r="E43" s="311"/>
      <c r="F43" s="311"/>
      <c r="G43" s="311"/>
      <c r="H43" s="14"/>
      <c r="I43" s="312"/>
      <c r="J43" s="14"/>
      <c r="K43" s="23"/>
      <c r="L43" s="64"/>
      <c r="M43" s="64"/>
      <c r="N43" s="298"/>
      <c r="O43" s="298"/>
      <c r="P43" s="298"/>
      <c r="Q43" s="313"/>
      <c r="R43" s="313"/>
      <c r="S43" s="26"/>
    </row>
    <row r="44" spans="1:21" x14ac:dyDescent="0.2">
      <c r="A44" s="23"/>
      <c r="B44" s="23"/>
      <c r="C44" s="23"/>
      <c r="D44" s="310"/>
      <c r="E44" s="14"/>
      <c r="F44" s="14"/>
      <c r="G44" s="14"/>
      <c r="H44" s="14"/>
      <c r="I44" s="14"/>
      <c r="J44" s="14"/>
      <c r="K44" s="14"/>
      <c r="L44" s="26"/>
      <c r="M44" s="23"/>
      <c r="N44" s="298"/>
      <c r="O44" s="298"/>
      <c r="P44" s="298"/>
      <c r="Q44" s="313"/>
      <c r="R44" s="313"/>
      <c r="S44" s="26"/>
    </row>
    <row r="45" spans="1:21" x14ac:dyDescent="0.2">
      <c r="A45" s="23"/>
      <c r="B45" s="23"/>
      <c r="C45" s="23"/>
      <c r="D45" s="310"/>
      <c r="E45" s="14"/>
      <c r="F45" s="14"/>
      <c r="G45" s="14"/>
      <c r="H45" s="14"/>
      <c r="I45" s="14"/>
      <c r="J45" s="14"/>
      <c r="K45" s="14"/>
      <c r="L45" s="26"/>
      <c r="M45" s="23"/>
      <c r="N45" s="298"/>
      <c r="O45" s="298"/>
      <c r="P45" s="298"/>
      <c r="Q45" s="313"/>
      <c r="R45" s="313"/>
      <c r="S45" s="26"/>
    </row>
    <row r="46" spans="1:21" x14ac:dyDescent="0.2">
      <c r="A46" s="23"/>
      <c r="B46" s="23"/>
      <c r="C46" s="23"/>
      <c r="D46" s="310"/>
      <c r="E46" s="14"/>
      <c r="F46" s="14"/>
      <c r="G46" s="14"/>
      <c r="H46" s="14"/>
      <c r="I46" s="14"/>
      <c r="J46" s="14"/>
      <c r="K46" s="14"/>
      <c r="L46" s="26"/>
      <c r="M46" s="23"/>
      <c r="N46" s="298"/>
      <c r="O46" s="298"/>
      <c r="P46" s="298"/>
      <c r="Q46" s="313"/>
      <c r="R46" s="313"/>
      <c r="S46" s="26"/>
    </row>
    <row r="47" spans="1:21" x14ac:dyDescent="0.2">
      <c r="A47" s="152"/>
      <c r="B47" s="314"/>
      <c r="C47" s="23"/>
      <c r="D47" s="310"/>
      <c r="E47" s="14"/>
      <c r="F47" s="14"/>
      <c r="G47" s="14"/>
      <c r="H47" s="14"/>
      <c r="I47" s="14"/>
      <c r="J47" s="14"/>
      <c r="K47" s="14"/>
      <c r="L47" s="26"/>
      <c r="M47" s="23"/>
      <c r="N47" s="298"/>
      <c r="O47" s="298"/>
      <c r="P47" s="298"/>
      <c r="Q47" s="313"/>
      <c r="R47" s="313"/>
      <c r="S47" s="26"/>
    </row>
    <row r="48" spans="1:21" x14ac:dyDescent="0.2">
      <c r="A48" s="23"/>
      <c r="B48" s="23"/>
      <c r="C48" s="23"/>
      <c r="D48" s="310"/>
      <c r="E48" s="14"/>
      <c r="F48" s="14"/>
      <c r="G48" s="14"/>
      <c r="H48" s="14"/>
      <c r="I48" s="14"/>
      <c r="J48" s="14"/>
      <c r="K48" s="14"/>
      <c r="L48" s="26"/>
      <c r="M48" s="23"/>
      <c r="N48" s="298"/>
      <c r="O48" s="298"/>
      <c r="P48" s="298"/>
      <c r="Q48" s="313"/>
      <c r="R48" s="313"/>
      <c r="S48" s="26"/>
    </row>
    <row r="49" spans="1:19" x14ac:dyDescent="0.2">
      <c r="A49" s="13"/>
      <c r="B49" s="13"/>
      <c r="C49" s="64"/>
      <c r="D49" s="310"/>
      <c r="E49" s="25"/>
      <c r="F49" s="14"/>
      <c r="G49" s="14"/>
      <c r="H49" s="14"/>
      <c r="I49" s="14"/>
      <c r="J49" s="14"/>
      <c r="K49" s="14"/>
      <c r="L49" s="26"/>
      <c r="M49" s="13"/>
      <c r="N49" s="298"/>
      <c r="O49" s="298"/>
      <c r="P49" s="298"/>
      <c r="Q49" s="313"/>
      <c r="R49" s="313"/>
      <c r="S49" s="26"/>
    </row>
    <row r="50" spans="1:19" x14ac:dyDescent="0.2">
      <c r="A50" s="23"/>
      <c r="B50" s="23"/>
      <c r="C50" s="23"/>
      <c r="D50" s="310"/>
      <c r="E50" s="14"/>
      <c r="F50" s="14"/>
      <c r="G50" s="14"/>
      <c r="H50" s="14"/>
      <c r="I50" s="14"/>
      <c r="J50" s="14"/>
      <c r="K50" s="14"/>
      <c r="L50" s="26"/>
      <c r="M50" s="23"/>
      <c r="N50" s="298"/>
      <c r="O50" s="298"/>
      <c r="P50" s="298"/>
      <c r="Q50" s="313"/>
      <c r="R50" s="313"/>
      <c r="S50" s="26"/>
    </row>
    <row r="51" spans="1:19" x14ac:dyDescent="0.2">
      <c r="A51" s="14"/>
      <c r="B51" s="95"/>
      <c r="C51" s="95"/>
      <c r="D51" s="96"/>
      <c r="E51" s="96"/>
      <c r="F51" s="96"/>
      <c r="G51" s="96"/>
      <c r="H51" s="99"/>
      <c r="I51" s="99"/>
      <c r="J51" s="99"/>
      <c r="K51" s="99"/>
      <c r="L51" s="98"/>
      <c r="M51" s="98"/>
      <c r="N51" s="98"/>
      <c r="O51" s="101"/>
      <c r="P51" s="100"/>
      <c r="Q51" s="100"/>
      <c r="R51" s="101"/>
      <c r="S51" s="98"/>
    </row>
    <row r="52" spans="1:19" x14ac:dyDescent="0.2">
      <c r="A52" s="44"/>
      <c r="B52" s="94"/>
      <c r="C52" s="94"/>
      <c r="D52" s="94"/>
      <c r="E52" s="94"/>
      <c r="F52" s="94"/>
      <c r="G52" s="94"/>
      <c r="H52" s="94"/>
      <c r="I52" s="94"/>
      <c r="J52" s="94"/>
      <c r="K52" s="94"/>
      <c r="L52" s="315"/>
      <c r="M52" s="94"/>
      <c r="N52" s="94"/>
      <c r="O52" s="101"/>
      <c r="P52" s="100"/>
      <c r="Q52" s="94"/>
      <c r="R52" s="94"/>
      <c r="S52" s="94"/>
    </row>
    <row r="54" spans="1:19" ht="17.2" customHeight="1" x14ac:dyDescent="0.25">
      <c r="A54" s="52" t="s">
        <v>184</v>
      </c>
      <c r="B54" s="45"/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52"/>
    </row>
    <row r="55" spans="1:19" ht="19.5" customHeight="1" x14ac:dyDescent="0.25">
      <c r="A55" s="52" t="s">
        <v>158</v>
      </c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52"/>
    </row>
    <row r="56" spans="1:19" ht="19" customHeight="1" x14ac:dyDescent="0.25">
      <c r="A56" s="52" t="s">
        <v>145</v>
      </c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52"/>
    </row>
    <row r="57" spans="1:19" ht="16.55" customHeight="1" x14ac:dyDescent="0.2"/>
    <row r="58" spans="1:19" ht="16.55" customHeight="1" x14ac:dyDescent="0.2"/>
    <row r="59" spans="1:19" ht="13.1" x14ac:dyDescent="0.25">
      <c r="B59" s="177" t="s">
        <v>115</v>
      </c>
      <c r="C59" s="178"/>
      <c r="D59" s="178"/>
      <c r="E59" s="178"/>
      <c r="F59" s="178"/>
      <c r="G59" s="178"/>
      <c r="H59" s="178"/>
      <c r="I59" s="178"/>
      <c r="J59" s="178"/>
      <c r="K59" s="188"/>
      <c r="L59" s="179" t="s">
        <v>186</v>
      </c>
      <c r="M59" s="45"/>
      <c r="N59" s="45"/>
      <c r="O59" s="52"/>
    </row>
    <row r="60" spans="1:19" ht="13.1" x14ac:dyDescent="0.25">
      <c r="B60" s="180" t="s">
        <v>116</v>
      </c>
      <c r="C60" s="181"/>
      <c r="D60" s="181"/>
      <c r="E60" s="181"/>
      <c r="F60" s="181"/>
      <c r="G60" s="181"/>
      <c r="H60" s="182"/>
      <c r="I60" s="181"/>
      <c r="J60" s="182"/>
      <c r="K60" s="189"/>
      <c r="L60" s="183">
        <f>L7</f>
        <v>45078</v>
      </c>
      <c r="M60" s="45"/>
      <c r="N60" s="45"/>
      <c r="O60" s="52"/>
    </row>
    <row r="61" spans="1:19" ht="13.1" x14ac:dyDescent="0.25">
      <c r="A61" s="8"/>
      <c r="B61" s="180" t="s">
        <v>117</v>
      </c>
      <c r="C61" s="181"/>
      <c r="D61" s="181"/>
      <c r="E61" s="181"/>
      <c r="F61" s="181"/>
      <c r="G61" s="181"/>
      <c r="H61" s="181"/>
      <c r="I61" s="181"/>
      <c r="J61" s="181"/>
      <c r="K61" s="152"/>
      <c r="L61" s="163" t="s">
        <v>118</v>
      </c>
      <c r="M61" s="45"/>
      <c r="N61" s="45"/>
      <c r="O61" s="52"/>
    </row>
    <row r="62" spans="1:19" ht="13.1" x14ac:dyDescent="0.25">
      <c r="A62" s="8"/>
      <c r="B62" s="180" t="s">
        <v>119</v>
      </c>
      <c r="C62" s="181"/>
      <c r="D62" s="181"/>
      <c r="E62" s="181"/>
      <c r="F62" s="181"/>
      <c r="G62" s="181"/>
      <c r="H62" s="181"/>
      <c r="I62" s="181"/>
      <c r="J62" s="184"/>
      <c r="K62" s="153"/>
      <c r="L62" s="154">
        <f>L9</f>
        <v>0.6333333333333333</v>
      </c>
      <c r="M62" s="45"/>
      <c r="N62" s="45"/>
      <c r="O62" s="52"/>
    </row>
    <row r="63" spans="1:19" ht="13.1" x14ac:dyDescent="0.25">
      <c r="A63" s="8"/>
      <c r="B63" s="83" t="s">
        <v>123</v>
      </c>
      <c r="C63" s="44"/>
      <c r="D63" s="44"/>
      <c r="E63" s="44"/>
      <c r="F63" s="44"/>
      <c r="G63" s="44"/>
      <c r="H63" s="44"/>
      <c r="I63" s="44"/>
      <c r="J63" s="185"/>
      <c r="K63" s="44"/>
      <c r="L63" s="391" t="s">
        <v>125</v>
      </c>
      <c r="M63" s="396"/>
      <c r="N63" s="396"/>
      <c r="O63" s="52"/>
    </row>
    <row r="64" spans="1:19" ht="13.1" x14ac:dyDescent="0.25">
      <c r="A64" s="8"/>
      <c r="B64" s="83" t="s">
        <v>124</v>
      </c>
      <c r="C64" s="44"/>
      <c r="D64" s="44"/>
      <c r="E64" s="44"/>
      <c r="F64" s="44"/>
      <c r="G64" s="44"/>
      <c r="H64" s="44"/>
      <c r="I64" s="44"/>
      <c r="J64" s="185"/>
      <c r="K64" s="44"/>
      <c r="L64" s="393" t="s">
        <v>140</v>
      </c>
      <c r="M64" s="45"/>
      <c r="N64" s="45"/>
      <c r="O64" s="52"/>
    </row>
    <row r="65" spans="1:19" x14ac:dyDescent="0.2">
      <c r="A65" s="8"/>
      <c r="B65" s="135" t="s">
        <v>120</v>
      </c>
      <c r="C65" s="42"/>
      <c r="D65" s="42" t="s">
        <v>177</v>
      </c>
      <c r="E65" s="42"/>
      <c r="F65" s="42"/>
      <c r="G65" s="42"/>
      <c r="H65" s="42"/>
      <c r="I65" s="42"/>
      <c r="J65" s="186"/>
      <c r="K65" s="42"/>
      <c r="L65" s="190"/>
      <c r="M65" s="1"/>
      <c r="N65" s="1"/>
    </row>
    <row r="66" spans="1:19" x14ac:dyDescent="0.2">
      <c r="A66" s="1"/>
      <c r="B66" s="1"/>
      <c r="C66" s="1"/>
      <c r="D66" s="1"/>
      <c r="E66" s="32"/>
      <c r="F66" s="32"/>
      <c r="G66" s="32"/>
      <c r="H66" s="32"/>
      <c r="I66" s="32"/>
      <c r="J66" s="1"/>
      <c r="K66" s="1"/>
      <c r="L66" s="1"/>
      <c r="M66" s="1"/>
      <c r="N66" s="1"/>
    </row>
    <row r="67" spans="1:19" ht="12.8" customHeight="1" x14ac:dyDescent="0.2">
      <c r="A67" s="5"/>
      <c r="B67" s="5" t="s">
        <v>1</v>
      </c>
      <c r="C67" s="5" t="s">
        <v>2</v>
      </c>
      <c r="D67" s="143" t="s">
        <v>4</v>
      </c>
      <c r="E67" s="441" t="s">
        <v>138</v>
      </c>
      <c r="F67" s="442"/>
      <c r="G67" s="443"/>
      <c r="H67" s="447"/>
      <c r="I67" s="448"/>
      <c r="J67" s="448"/>
      <c r="K67" s="449"/>
      <c r="L67" s="5"/>
      <c r="M67" s="143"/>
      <c r="N67" s="143" t="s">
        <v>5</v>
      </c>
      <c r="O67" s="2"/>
      <c r="P67" s="5" t="s">
        <v>10</v>
      </c>
      <c r="Q67" s="5" t="s">
        <v>162</v>
      </c>
      <c r="R67" s="5" t="s">
        <v>164</v>
      </c>
      <c r="S67" s="2" t="s">
        <v>11</v>
      </c>
    </row>
    <row r="68" spans="1:19" x14ac:dyDescent="0.2">
      <c r="A68" s="6"/>
      <c r="B68" s="6"/>
      <c r="C68" s="6" t="s">
        <v>3</v>
      </c>
      <c r="D68" s="6"/>
      <c r="E68" s="444"/>
      <c r="F68" s="445"/>
      <c r="G68" s="446"/>
      <c r="H68" s="14"/>
      <c r="I68" s="14"/>
      <c r="J68" s="15"/>
      <c r="K68" s="3"/>
      <c r="L68" s="6" t="s">
        <v>24</v>
      </c>
      <c r="M68" s="144"/>
      <c r="N68" s="144" t="s">
        <v>24</v>
      </c>
      <c r="O68" s="3"/>
      <c r="P68" s="6" t="s">
        <v>161</v>
      </c>
      <c r="Q68" s="6" t="s">
        <v>163</v>
      </c>
      <c r="R68" s="6" t="s">
        <v>166</v>
      </c>
      <c r="S68" s="3" t="s">
        <v>165</v>
      </c>
    </row>
    <row r="69" spans="1:19" x14ac:dyDescent="0.2">
      <c r="A69" s="7"/>
      <c r="B69" s="7"/>
      <c r="C69" s="7" t="s">
        <v>58</v>
      </c>
      <c r="D69" s="11" t="s">
        <v>17</v>
      </c>
      <c r="E69" s="142" t="s">
        <v>18</v>
      </c>
      <c r="F69" s="149" t="s">
        <v>70</v>
      </c>
      <c r="G69" s="12" t="s">
        <v>21</v>
      </c>
      <c r="H69" s="16"/>
      <c r="I69" s="80"/>
      <c r="J69" s="17"/>
      <c r="K69" s="4"/>
      <c r="L69" s="11" t="s">
        <v>23</v>
      </c>
      <c r="M69" s="145"/>
      <c r="N69" s="145" t="s">
        <v>25</v>
      </c>
      <c r="O69" s="12"/>
      <c r="P69" s="11" t="s">
        <v>26</v>
      </c>
      <c r="Q69" s="11" t="s">
        <v>27</v>
      </c>
      <c r="R69" s="11" t="s">
        <v>28</v>
      </c>
      <c r="S69" s="12" t="s">
        <v>31</v>
      </c>
    </row>
    <row r="70" spans="1:19" x14ac:dyDescent="0.2">
      <c r="A70" s="36"/>
      <c r="B70" s="36"/>
      <c r="C70" s="36">
        <v>1</v>
      </c>
      <c r="D70" s="220">
        <f>D17</f>
        <v>0.6333333333333333</v>
      </c>
      <c r="E70" s="146"/>
      <c r="F70" s="146"/>
      <c r="G70" s="148"/>
      <c r="H70" s="31"/>
      <c r="I70" s="38"/>
      <c r="J70" s="39"/>
      <c r="K70" s="40"/>
      <c r="L70" s="37"/>
      <c r="M70" s="203"/>
      <c r="N70" s="316">
        <f>Varation!D27</f>
        <v>0</v>
      </c>
      <c r="O70" s="258"/>
      <c r="P70" s="291">
        <f>N70-N70</f>
        <v>0</v>
      </c>
      <c r="Q70" s="291">
        <f>R17</f>
        <v>0</v>
      </c>
      <c r="R70" s="291">
        <f>Q70-Q70</f>
        <v>0</v>
      </c>
      <c r="S70" s="30"/>
    </row>
    <row r="71" spans="1:19" ht="13.1" x14ac:dyDescent="0.25">
      <c r="A71" s="6"/>
      <c r="B71" s="6" t="s">
        <v>134</v>
      </c>
      <c r="C71" s="6">
        <v>5</v>
      </c>
      <c r="D71" s="193">
        <f>D18</f>
        <v>0.67592592592592593</v>
      </c>
      <c r="E71" s="14">
        <f>E18</f>
        <v>297</v>
      </c>
      <c r="F71" s="14">
        <f>F18</f>
        <v>50</v>
      </c>
      <c r="G71" s="15">
        <f>G18</f>
        <v>3</v>
      </c>
      <c r="H71" s="14">
        <f>ABS(IF(E71&gt;270,359-E71,IF(E71&gt;180,E71-180,IF(E71&gt;90,179-E71,E71))))</f>
        <v>62</v>
      </c>
      <c r="I71" s="14">
        <f>ABS(IF(E71&gt;270,59-F71,IF(E71&gt;180,F71,IF(E71&gt;90,59-F71,F71))))</f>
        <v>9</v>
      </c>
      <c r="J71" s="15"/>
      <c r="K71" s="15">
        <f>ABS(IF(E71&gt;270,60-G71,IF(E71&gt;180,G71,IF(E71&gt;90,60-G71,G71))))</f>
        <v>57</v>
      </c>
      <c r="L71" s="19">
        <f>(((K71/60)+I71)/60)+H71</f>
        <v>62.165833333333332</v>
      </c>
      <c r="M71" s="144"/>
      <c r="N71" s="317">
        <f>Varation!D35</f>
        <v>0</v>
      </c>
      <c r="O71" s="204"/>
      <c r="P71" s="289">
        <f>N71-N70</f>
        <v>0</v>
      </c>
      <c r="Q71" s="289">
        <f>R18</f>
        <v>0</v>
      </c>
      <c r="R71" s="289">
        <f>Q71-P71</f>
        <v>0</v>
      </c>
      <c r="S71" s="18">
        <f>L71-P71</f>
        <v>62.165833333333332</v>
      </c>
    </row>
    <row r="72" spans="1:19" x14ac:dyDescent="0.2">
      <c r="A72" s="6"/>
      <c r="B72" s="6"/>
      <c r="C72" s="6"/>
      <c r="D72" s="193"/>
      <c r="E72" s="14"/>
      <c r="F72" s="14"/>
      <c r="G72" s="15"/>
      <c r="H72" s="14"/>
      <c r="I72" s="14"/>
      <c r="J72" s="15"/>
      <c r="K72" s="15"/>
      <c r="L72" s="19"/>
      <c r="M72" s="144"/>
      <c r="N72" s="317"/>
      <c r="O72" s="204"/>
      <c r="P72" s="289"/>
      <c r="Q72" s="289"/>
      <c r="R72" s="289"/>
      <c r="S72" s="18"/>
    </row>
    <row r="73" spans="1:19" ht="13.1" x14ac:dyDescent="0.25">
      <c r="A73" s="6"/>
      <c r="B73" s="6" t="s">
        <v>135</v>
      </c>
      <c r="C73" s="6">
        <v>6</v>
      </c>
      <c r="D73" s="193">
        <f>D20</f>
        <v>0.6777777777777777</v>
      </c>
      <c r="E73" s="14">
        <f>E20</f>
        <v>118</v>
      </c>
      <c r="F73" s="14">
        <f>F20</f>
        <v>49</v>
      </c>
      <c r="G73" s="15">
        <f>G20</f>
        <v>45</v>
      </c>
      <c r="H73" s="14">
        <f>ABS(IF(E73&gt;270,359-E73,IF(E73&gt;180,E73-180,IF(E73&gt;90,179-E73,E73))))</f>
        <v>61</v>
      </c>
      <c r="I73" s="14">
        <f>ABS(IF(E73&gt;270,59-F73,IF(E73&gt;180,F73,IF(E73&gt;90,59-F73,F73))))</f>
        <v>10</v>
      </c>
      <c r="J73" s="15"/>
      <c r="K73" s="15">
        <f>ABS(IF(E73&gt;270,60-G73,IF(E73&gt;180,G73,IF(E73&gt;90,60-G73,G73))))</f>
        <v>15</v>
      </c>
      <c r="L73" s="19">
        <f>(((K73/60)+I73)/60)+H73</f>
        <v>61.170833333333334</v>
      </c>
      <c r="M73" s="144"/>
      <c r="N73" s="317">
        <f>Varation!D37</f>
        <v>0</v>
      </c>
      <c r="O73" s="204"/>
      <c r="P73" s="289">
        <f>N73-N70</f>
        <v>0</v>
      </c>
      <c r="Q73" s="289">
        <f>R20</f>
        <v>0</v>
      </c>
      <c r="R73" s="289">
        <f>Q73-P73</f>
        <v>0</v>
      </c>
      <c r="S73" s="18">
        <f>L73-P73</f>
        <v>61.170833333333334</v>
      </c>
    </row>
    <row r="74" spans="1:19" x14ac:dyDescent="0.2">
      <c r="A74" s="34" t="s">
        <v>32</v>
      </c>
      <c r="B74" s="35"/>
      <c r="C74" s="6"/>
      <c r="D74" s="193"/>
      <c r="E74" s="14"/>
      <c r="F74" s="14"/>
      <c r="G74" s="15"/>
      <c r="H74" s="14"/>
      <c r="I74" s="14"/>
      <c r="J74" s="15"/>
      <c r="K74" s="15"/>
      <c r="L74" s="19"/>
      <c r="M74" s="144"/>
      <c r="N74" s="317"/>
      <c r="O74" s="204"/>
      <c r="P74" s="289"/>
      <c r="Q74" s="289"/>
      <c r="R74" s="289"/>
      <c r="S74" s="18"/>
    </row>
    <row r="75" spans="1:19" ht="13.1" x14ac:dyDescent="0.25">
      <c r="A75" s="6"/>
      <c r="B75" s="6" t="s">
        <v>136</v>
      </c>
      <c r="C75" s="6">
        <v>7</v>
      </c>
      <c r="D75" s="193">
        <f>D22</f>
        <v>0.68819444444444444</v>
      </c>
      <c r="E75" s="14">
        <f>E22</f>
        <v>61</v>
      </c>
      <c r="F75" s="14">
        <f>F22</f>
        <v>11</v>
      </c>
      <c r="G75" s="15">
        <f>G22</f>
        <v>57</v>
      </c>
      <c r="H75" s="14">
        <f>ABS(IF(E75&gt;270,359-E75,IF(E75&gt;180,E75-180,IF(E75&gt;90,179-E75,E75))))</f>
        <v>61</v>
      </c>
      <c r="I75" s="14">
        <f>ABS(IF(E75&gt;270,59-F75,IF(E75&gt;180,F75,IF(E75&gt;90,59-F75,F75))))</f>
        <v>11</v>
      </c>
      <c r="J75" s="15"/>
      <c r="K75" s="15">
        <f>ABS(IF(E75&gt;270,60-G75,IF(E75&gt;180,G75,IF(E75&gt;90,60-G75,G75))))</f>
        <v>57</v>
      </c>
      <c r="L75" s="19">
        <f>(((K75/60)+I75)/60)+H75</f>
        <v>61.199166666666663</v>
      </c>
      <c r="M75" s="144"/>
      <c r="N75" s="317">
        <f>Varation!D39</f>
        <v>0</v>
      </c>
      <c r="O75" s="204"/>
      <c r="P75" s="289">
        <f>N75-N70</f>
        <v>0</v>
      </c>
      <c r="Q75" s="289">
        <f>R22</f>
        <v>0</v>
      </c>
      <c r="R75" s="289">
        <f>P75-Q75</f>
        <v>0</v>
      </c>
      <c r="S75" s="18">
        <f>L75-P75</f>
        <v>61.199166666666663</v>
      </c>
    </row>
    <row r="76" spans="1:19" x14ac:dyDescent="0.2">
      <c r="A76" s="9"/>
      <c r="B76" s="13"/>
      <c r="C76" s="22"/>
      <c r="D76" s="193"/>
      <c r="E76" s="25"/>
      <c r="F76" s="14"/>
      <c r="G76" s="15"/>
      <c r="H76" s="14"/>
      <c r="I76" s="14"/>
      <c r="J76" s="15"/>
      <c r="K76" s="15"/>
      <c r="L76" s="19"/>
      <c r="M76" s="202"/>
      <c r="N76" s="317"/>
      <c r="O76" s="204"/>
      <c r="P76" s="289"/>
      <c r="Q76" s="289"/>
      <c r="R76" s="289"/>
      <c r="S76" s="18"/>
    </row>
    <row r="77" spans="1:19" ht="13.1" x14ac:dyDescent="0.25">
      <c r="A77" s="7"/>
      <c r="B77" s="6" t="s">
        <v>137</v>
      </c>
      <c r="C77" s="6">
        <v>8</v>
      </c>
      <c r="D77" s="193">
        <f>D24</f>
        <v>0.69166666666666676</v>
      </c>
      <c r="E77" s="14">
        <f>E24</f>
        <v>241</v>
      </c>
      <c r="F77" s="14">
        <f>F24</f>
        <v>12</v>
      </c>
      <c r="G77" s="15">
        <f>G24</f>
        <v>8</v>
      </c>
      <c r="H77" s="14">
        <f>ABS(IF(E77&gt;270,359-E77,IF(E77&gt;180,E77-180,IF(E77&gt;90,179-E77,E77))))</f>
        <v>61</v>
      </c>
      <c r="I77" s="14">
        <f>ABS(IF(E77&gt;270,59-F77,IF(E77&gt;180,F77,IF(E77&gt;90,59-F77,F77))))</f>
        <v>12</v>
      </c>
      <c r="J77" s="15"/>
      <c r="K77" s="15">
        <f>ABS(IF(E77&gt;270,60-G77,IF(E77&gt;180,G77,IF(E77&gt;90,60-G77,G77))))</f>
        <v>8</v>
      </c>
      <c r="L77" s="19">
        <f>(((K77/60)+I77)/60)+H77</f>
        <v>61.202222222222225</v>
      </c>
      <c r="M77" s="144"/>
      <c r="N77" s="318">
        <f>Varation!D41</f>
        <v>0</v>
      </c>
      <c r="O77" s="205"/>
      <c r="P77" s="289">
        <f>N77-N70</f>
        <v>0</v>
      </c>
      <c r="Q77" s="289">
        <f>R24</f>
        <v>0</v>
      </c>
      <c r="R77" s="289">
        <f>Q77-P77</f>
        <v>0</v>
      </c>
      <c r="S77" s="18">
        <f>L77-P77</f>
        <v>61.202222222222225</v>
      </c>
    </row>
    <row r="78" spans="1:19" x14ac:dyDescent="0.2">
      <c r="A78" s="53"/>
      <c r="B78" s="114" t="s">
        <v>168</v>
      </c>
      <c r="C78" s="115"/>
      <c r="D78" s="116"/>
      <c r="E78" s="116"/>
      <c r="F78" s="116"/>
      <c r="G78" s="116"/>
      <c r="H78" s="117"/>
      <c r="I78" s="117"/>
      <c r="J78" s="117"/>
      <c r="K78" s="117" t="s">
        <v>35</v>
      </c>
      <c r="L78" s="118">
        <f>AVERAGE(L71,L73,L75,L77)</f>
        <v>61.434513888888887</v>
      </c>
      <c r="M78" s="118"/>
      <c r="N78" s="98"/>
      <c r="O78" s="101" t="s">
        <v>37</v>
      </c>
      <c r="P78" s="119">
        <f>SIN(RADIANS(L78))</f>
        <v>0.87827117099632979</v>
      </c>
      <c r="Q78" s="119"/>
      <c r="R78" s="120" t="s">
        <v>34</v>
      </c>
      <c r="S78" s="102">
        <f>AVERAGE(S71,S73,S75,S77)</f>
        <v>61.434513888888887</v>
      </c>
    </row>
    <row r="79" spans="1:19" x14ac:dyDescent="0.2">
      <c r="A79" s="55"/>
      <c r="B79" s="91"/>
      <c r="C79" s="91"/>
      <c r="D79" s="91"/>
      <c r="E79" s="91"/>
      <c r="F79" s="91"/>
      <c r="G79" s="91"/>
      <c r="H79" s="91"/>
      <c r="I79" s="91"/>
      <c r="J79" s="91"/>
      <c r="K79" s="91"/>
      <c r="L79" s="253"/>
      <c r="M79" s="91"/>
      <c r="N79" s="91"/>
      <c r="O79" s="109" t="s">
        <v>36</v>
      </c>
      <c r="P79" s="108">
        <f>COS(RADIANS(L78))</f>
        <v>0.47816289086119568</v>
      </c>
      <c r="Q79" s="320" t="s">
        <v>179</v>
      </c>
      <c r="R79" s="321">
        <f>AVERAGE(R71,R73,R75,R77,)*3600</f>
        <v>0</v>
      </c>
      <c r="S79" s="121"/>
    </row>
    <row r="81" spans="1:19" ht="13.1" x14ac:dyDescent="0.25">
      <c r="C81" s="111" t="s">
        <v>167</v>
      </c>
      <c r="D81" s="112"/>
      <c r="E81" s="112"/>
      <c r="F81" s="112"/>
      <c r="G81" s="112"/>
      <c r="H81" s="112"/>
      <c r="I81" s="112"/>
      <c r="J81" s="112"/>
      <c r="K81" s="112"/>
      <c r="L81" s="113"/>
      <c r="M81" s="233"/>
      <c r="N81" s="319"/>
      <c r="R81" s="324" t="s">
        <v>183</v>
      </c>
      <c r="S81" s="326">
        <f>((S71+S73-S75-S77)/4)*60</f>
        <v>14.029166666666768</v>
      </c>
    </row>
    <row r="85" spans="1:19" ht="13.1" x14ac:dyDescent="0.25">
      <c r="A85" s="52" t="s">
        <v>184</v>
      </c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52"/>
    </row>
    <row r="86" spans="1:19" ht="13.1" x14ac:dyDescent="0.25">
      <c r="A86" s="52" t="s">
        <v>158</v>
      </c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52"/>
    </row>
    <row r="87" spans="1:19" ht="13.1" x14ac:dyDescent="0.25">
      <c r="A87" s="52" t="s">
        <v>157</v>
      </c>
      <c r="B87" s="45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52"/>
    </row>
    <row r="88" spans="1:19" ht="13.1" x14ac:dyDescent="0.25">
      <c r="A88" s="335"/>
      <c r="B88" s="335"/>
      <c r="C88" s="335"/>
      <c r="D88" s="335"/>
      <c r="E88" s="335"/>
      <c r="F88" s="335"/>
      <c r="G88" s="45"/>
      <c r="H88" s="45"/>
      <c r="I88" s="45"/>
      <c r="J88" s="45"/>
      <c r="K88" s="45"/>
      <c r="L88" s="45"/>
      <c r="M88" s="45"/>
      <c r="N88" s="45"/>
      <c r="O88" s="52"/>
    </row>
    <row r="89" spans="1:19" ht="13.1" x14ac:dyDescent="0.25">
      <c r="A89" s="45"/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52"/>
    </row>
    <row r="90" spans="1:19" ht="13.1" x14ac:dyDescent="0.25">
      <c r="B90" s="177" t="s">
        <v>115</v>
      </c>
      <c r="C90" s="178"/>
      <c r="D90" s="178"/>
      <c r="E90" s="178"/>
      <c r="F90" s="178"/>
      <c r="G90" s="178"/>
      <c r="H90" s="178"/>
      <c r="I90" s="178"/>
      <c r="J90" s="178"/>
      <c r="K90" s="351"/>
      <c r="L90" s="179" t="s">
        <v>186</v>
      </c>
      <c r="M90" s="45"/>
      <c r="N90" s="45"/>
      <c r="O90" s="52"/>
    </row>
    <row r="91" spans="1:19" ht="13.1" x14ac:dyDescent="0.25">
      <c r="B91" s="180" t="s">
        <v>116</v>
      </c>
      <c r="C91" s="181"/>
      <c r="D91" s="181"/>
      <c r="E91" s="181"/>
      <c r="F91" s="181"/>
      <c r="G91" s="181"/>
      <c r="H91" s="182"/>
      <c r="I91" s="181"/>
      <c r="J91" s="182"/>
      <c r="K91" s="189"/>
      <c r="L91" s="183">
        <f>L7</f>
        <v>45078</v>
      </c>
      <c r="M91" s="45"/>
      <c r="N91" s="45"/>
      <c r="O91" s="52"/>
    </row>
    <row r="92" spans="1:19" ht="13.1" x14ac:dyDescent="0.25">
      <c r="A92" s="8"/>
      <c r="B92" s="180" t="s">
        <v>117</v>
      </c>
      <c r="C92" s="181"/>
      <c r="D92" s="181"/>
      <c r="E92" s="181"/>
      <c r="F92" s="181"/>
      <c r="G92" s="181"/>
      <c r="H92" s="181"/>
      <c r="I92" s="181"/>
      <c r="J92" s="181"/>
      <c r="K92" s="152"/>
      <c r="L92" s="163" t="s">
        <v>118</v>
      </c>
      <c r="M92" s="45"/>
      <c r="N92" s="45"/>
      <c r="O92" s="52"/>
    </row>
    <row r="93" spans="1:19" ht="13.1" x14ac:dyDescent="0.25">
      <c r="A93" s="8"/>
      <c r="B93" s="180" t="s">
        <v>119</v>
      </c>
      <c r="C93" s="181"/>
      <c r="D93" s="181"/>
      <c r="E93" s="181"/>
      <c r="F93" s="181"/>
      <c r="G93" s="181"/>
      <c r="H93" s="181"/>
      <c r="I93" s="181"/>
      <c r="J93" s="184"/>
      <c r="K93" s="153"/>
      <c r="L93" s="154">
        <f>L9</f>
        <v>0.6333333333333333</v>
      </c>
      <c r="M93" s="45"/>
      <c r="N93" s="45"/>
      <c r="O93" s="52"/>
    </row>
    <row r="94" spans="1:19" ht="13.1" x14ac:dyDescent="0.25">
      <c r="A94" s="8"/>
      <c r="B94" s="83" t="s">
        <v>123</v>
      </c>
      <c r="C94" s="44"/>
      <c r="D94" s="44"/>
      <c r="E94" s="44"/>
      <c r="F94" s="44"/>
      <c r="G94" s="44"/>
      <c r="H94" s="44"/>
      <c r="I94" s="44"/>
      <c r="J94" s="185"/>
      <c r="K94" s="44"/>
      <c r="L94" s="213" t="s">
        <v>125</v>
      </c>
      <c r="M94" s="45"/>
      <c r="N94" s="45"/>
      <c r="O94" s="52"/>
    </row>
    <row r="95" spans="1:19" ht="13.1" x14ac:dyDescent="0.25">
      <c r="A95" s="8"/>
      <c r="B95" s="83" t="s">
        <v>124</v>
      </c>
      <c r="C95" s="44"/>
      <c r="D95" s="44"/>
      <c r="E95" s="44"/>
      <c r="F95" s="44"/>
      <c r="G95" s="44"/>
      <c r="H95" s="44"/>
      <c r="I95" s="44"/>
      <c r="J95" s="185"/>
      <c r="K95" s="44"/>
      <c r="L95" s="392" t="s">
        <v>187</v>
      </c>
      <c r="M95" s="45"/>
      <c r="N95" s="45"/>
      <c r="O95" s="52"/>
    </row>
    <row r="96" spans="1:19" x14ac:dyDescent="0.2">
      <c r="A96" s="8"/>
      <c r="B96" s="135" t="s">
        <v>120</v>
      </c>
      <c r="C96" s="42"/>
      <c r="D96" s="42" t="s">
        <v>177</v>
      </c>
      <c r="E96" s="42"/>
      <c r="F96" s="42"/>
      <c r="G96" s="42"/>
      <c r="H96" s="42"/>
      <c r="I96" s="42"/>
      <c r="J96" s="186"/>
      <c r="K96" s="42"/>
      <c r="L96" s="190"/>
      <c r="M96" s="1"/>
      <c r="N96" s="1"/>
    </row>
    <row r="97" spans="1:20" x14ac:dyDescent="0.2">
      <c r="A97" s="1"/>
      <c r="B97" s="1"/>
      <c r="C97" s="1"/>
      <c r="D97" s="1"/>
      <c r="E97" s="32"/>
      <c r="F97" s="32"/>
      <c r="G97" s="32"/>
      <c r="H97" s="32"/>
      <c r="I97" s="32"/>
      <c r="J97" s="1"/>
      <c r="K97" s="1"/>
      <c r="L97" s="1"/>
      <c r="M97" s="1"/>
      <c r="N97" s="1"/>
    </row>
    <row r="98" spans="1:20" ht="12.45" customHeight="1" x14ac:dyDescent="0.2">
      <c r="A98" s="5"/>
      <c r="B98" s="5" t="s">
        <v>1</v>
      </c>
      <c r="C98" s="5" t="s">
        <v>2</v>
      </c>
      <c r="D98" s="353" t="s">
        <v>4</v>
      </c>
      <c r="E98" s="441" t="s">
        <v>138</v>
      </c>
      <c r="F98" s="442"/>
      <c r="G98" s="443"/>
      <c r="H98" s="447"/>
      <c r="I98" s="448"/>
      <c r="J98" s="448"/>
      <c r="K98" s="449"/>
      <c r="L98" s="5"/>
      <c r="M98" s="353"/>
      <c r="N98" s="353" t="s">
        <v>5</v>
      </c>
      <c r="O98" s="357"/>
      <c r="P98" s="5" t="s">
        <v>8</v>
      </c>
      <c r="Q98" s="5" t="s">
        <v>30</v>
      </c>
      <c r="R98" s="5" t="s">
        <v>10</v>
      </c>
      <c r="S98" s="357" t="s">
        <v>11</v>
      </c>
    </row>
    <row r="99" spans="1:20" x14ac:dyDescent="0.2">
      <c r="A99" s="6"/>
      <c r="B99" s="6"/>
      <c r="C99" s="6" t="s">
        <v>3</v>
      </c>
      <c r="D99" s="6"/>
      <c r="E99" s="444"/>
      <c r="F99" s="445"/>
      <c r="G99" s="446"/>
      <c r="H99" s="14"/>
      <c r="I99" s="14"/>
      <c r="J99" s="15"/>
      <c r="K99" s="3"/>
      <c r="L99" s="6" t="s">
        <v>24</v>
      </c>
      <c r="M99" s="354"/>
      <c r="N99" s="354" t="s">
        <v>51</v>
      </c>
      <c r="O99" s="3"/>
      <c r="P99" s="6" t="s">
        <v>29</v>
      </c>
      <c r="Q99" s="6"/>
      <c r="R99" s="6" t="s">
        <v>160</v>
      </c>
      <c r="S99" s="3" t="s">
        <v>59</v>
      </c>
    </row>
    <row r="100" spans="1:20" x14ac:dyDescent="0.2">
      <c r="A100" s="7"/>
      <c r="B100" s="7"/>
      <c r="C100" s="7" t="s">
        <v>58</v>
      </c>
      <c r="D100" s="11" t="s">
        <v>17</v>
      </c>
      <c r="E100" s="142" t="s">
        <v>18</v>
      </c>
      <c r="F100" s="149" t="s">
        <v>70</v>
      </c>
      <c r="G100" s="12" t="s">
        <v>21</v>
      </c>
      <c r="H100" s="16"/>
      <c r="I100" s="80"/>
      <c r="J100" s="17"/>
      <c r="K100" s="4"/>
      <c r="L100" s="11" t="s">
        <v>23</v>
      </c>
      <c r="M100" s="355"/>
      <c r="N100" s="355" t="s">
        <v>25</v>
      </c>
      <c r="O100" s="12"/>
      <c r="P100" s="11" t="s">
        <v>26</v>
      </c>
      <c r="Q100" s="11" t="s">
        <v>27</v>
      </c>
      <c r="R100" s="11" t="s">
        <v>28</v>
      </c>
      <c r="S100" s="12" t="s">
        <v>31</v>
      </c>
    </row>
    <row r="101" spans="1:20" x14ac:dyDescent="0.2">
      <c r="A101" s="36"/>
      <c r="B101" s="36"/>
      <c r="C101" s="36">
        <v>1</v>
      </c>
      <c r="D101" s="220">
        <f>D17</f>
        <v>0.6333333333333333</v>
      </c>
      <c r="E101" s="146"/>
      <c r="F101" s="146"/>
      <c r="G101" s="148"/>
      <c r="H101" s="31"/>
      <c r="I101" s="38"/>
      <c r="J101" s="39"/>
      <c r="K101" s="40"/>
      <c r="L101" s="37"/>
      <c r="M101" s="203"/>
      <c r="N101" s="390">
        <f>Varation!J45</f>
        <v>0</v>
      </c>
      <c r="O101" s="258"/>
      <c r="P101" s="390">
        <f>Varation!E45</f>
        <v>0</v>
      </c>
      <c r="Q101" s="73" t="e">
        <f>DEGREES(ATAN(P101/N101))</f>
        <v>#DIV/0!</v>
      </c>
      <c r="R101" s="73" t="e">
        <f>Q101-Q101</f>
        <v>#DIV/0!</v>
      </c>
      <c r="S101" s="30"/>
    </row>
    <row r="102" spans="1:20" ht="13.1" x14ac:dyDescent="0.25">
      <c r="A102" s="6"/>
      <c r="B102" s="6" t="s">
        <v>134</v>
      </c>
      <c r="C102" s="6">
        <v>5</v>
      </c>
      <c r="D102" s="193">
        <f>D18</f>
        <v>0.67592592592592593</v>
      </c>
      <c r="E102" s="402">
        <f>E18</f>
        <v>297</v>
      </c>
      <c r="F102" s="402">
        <f>F18</f>
        <v>50</v>
      </c>
      <c r="G102" s="402">
        <f>G18</f>
        <v>3</v>
      </c>
      <c r="H102" s="14">
        <f>ABS(IF(E102&gt;270,359-E102,IF(E102&gt;180,E102-180,IF(E102&gt;90,179-E102,E102))))</f>
        <v>62</v>
      </c>
      <c r="I102" s="14">
        <f>ABS(IF(E102&gt;270,59-F102,IF(E102&gt;180,F102,IF(E102&gt;90,59-F102,F102))))</f>
        <v>9</v>
      </c>
      <c r="J102" s="15"/>
      <c r="K102" s="15">
        <f>ABS(IF(E102&gt;270,60-G102,IF(E102&gt;180,G102,IF(E102&gt;90,60-G102,G102))))</f>
        <v>57</v>
      </c>
      <c r="L102" s="19">
        <f>(((K102/60)+I102)/60)+H102</f>
        <v>62.165833333333332</v>
      </c>
      <c r="M102" s="354"/>
      <c r="N102" s="373">
        <f>Varation!J53</f>
        <v>0</v>
      </c>
      <c r="O102" s="204"/>
      <c r="P102" s="373">
        <f>Varation!E53</f>
        <v>0</v>
      </c>
      <c r="Q102" s="397" t="e">
        <f>DEGREES(ATAN(P102/N102))</f>
        <v>#DIV/0!</v>
      </c>
      <c r="R102" s="18" t="e">
        <f>Q102-Q101</f>
        <v>#DIV/0!</v>
      </c>
      <c r="S102" s="18" t="e">
        <f>L102-R102</f>
        <v>#DIV/0!</v>
      </c>
    </row>
    <row r="103" spans="1:20" x14ac:dyDescent="0.2">
      <c r="A103" s="6"/>
      <c r="B103" s="6"/>
      <c r="C103" s="6"/>
      <c r="D103" s="193"/>
      <c r="E103" s="403"/>
      <c r="F103" s="403"/>
      <c r="G103" s="404"/>
      <c r="H103" s="14"/>
      <c r="I103" s="14"/>
      <c r="J103" s="15"/>
      <c r="K103" s="15"/>
      <c r="L103" s="19"/>
      <c r="M103" s="354"/>
      <c r="N103" s="260"/>
      <c r="O103" s="204"/>
      <c r="P103" s="260"/>
      <c r="Q103" s="19"/>
      <c r="R103" s="18"/>
      <c r="S103" s="18"/>
    </row>
    <row r="104" spans="1:20" ht="13.1" x14ac:dyDescent="0.25">
      <c r="A104" s="6"/>
      <c r="B104" s="6" t="s">
        <v>135</v>
      </c>
      <c r="C104" s="6">
        <v>6</v>
      </c>
      <c r="D104" s="193">
        <f>D20</f>
        <v>0.6777777777777777</v>
      </c>
      <c r="E104" s="402">
        <f>E20</f>
        <v>118</v>
      </c>
      <c r="F104" s="402">
        <f>F20</f>
        <v>49</v>
      </c>
      <c r="G104" s="402">
        <f>G20</f>
        <v>45</v>
      </c>
      <c r="H104" s="14">
        <f>ABS(IF(E104&gt;270,359-E104,IF(E104&gt;180,E104-180,IF(E104&gt;90,179-E104,E104))))</f>
        <v>61</v>
      </c>
      <c r="I104" s="14">
        <f>ABS(IF(E104&gt;270,59-F104,IF(E104&gt;180,F104,IF(E104&gt;90,59-F104,F104))))</f>
        <v>10</v>
      </c>
      <c r="J104" s="15"/>
      <c r="K104" s="15">
        <f>ABS(IF(E104&gt;270,60-G104,IF(E104&gt;180,G104,IF(E104&gt;90,60-G104,G104))))</f>
        <v>15</v>
      </c>
      <c r="L104" s="19">
        <f>(((K104/60)+I104)/60)+H104</f>
        <v>61.170833333333334</v>
      </c>
      <c r="M104" s="354"/>
      <c r="N104" s="373">
        <f>Varation!J55</f>
        <v>0</v>
      </c>
      <c r="O104" s="204"/>
      <c r="P104" s="373">
        <f>Varation!E55</f>
        <v>0</v>
      </c>
      <c r="Q104" s="19" t="e">
        <f>DEGREES(ATAN(P104/N104))</f>
        <v>#DIV/0!</v>
      </c>
      <c r="R104" s="18" t="e">
        <f>Q104-Q101</f>
        <v>#DIV/0!</v>
      </c>
      <c r="S104" s="18" t="e">
        <f>L104-R104</f>
        <v>#DIV/0!</v>
      </c>
    </row>
    <row r="105" spans="1:20" x14ac:dyDescent="0.2">
      <c r="A105" s="34" t="s">
        <v>32</v>
      </c>
      <c r="B105" s="35"/>
      <c r="C105" s="6"/>
      <c r="D105" s="193"/>
      <c r="E105" s="403"/>
      <c r="F105" s="403"/>
      <c r="G105" s="404"/>
      <c r="H105" s="14"/>
      <c r="I105" s="14"/>
      <c r="J105" s="15"/>
      <c r="K105" s="15"/>
      <c r="L105" s="19"/>
      <c r="M105" s="354"/>
      <c r="N105" s="260"/>
      <c r="O105" s="204"/>
      <c r="P105" s="260"/>
      <c r="Q105" s="19"/>
      <c r="R105" s="18"/>
      <c r="S105" s="18"/>
    </row>
    <row r="106" spans="1:20" ht="13.1" x14ac:dyDescent="0.25">
      <c r="A106" s="6"/>
      <c r="B106" s="6" t="s">
        <v>136</v>
      </c>
      <c r="C106" s="6">
        <v>7</v>
      </c>
      <c r="D106" s="193">
        <f>D22</f>
        <v>0.68819444444444444</v>
      </c>
      <c r="E106" s="402">
        <f>E22</f>
        <v>61</v>
      </c>
      <c r="F106" s="402">
        <f>F22</f>
        <v>11</v>
      </c>
      <c r="G106" s="402">
        <f>G22</f>
        <v>57</v>
      </c>
      <c r="H106" s="14">
        <f>ABS(IF(E106&gt;270,359-E106,IF(E106&gt;180,E106-180,IF(E106&gt;90,179-E106,E106))))</f>
        <v>61</v>
      </c>
      <c r="I106" s="14">
        <f>ABS(IF(E106&gt;270,59-F106,IF(E106&gt;180,F106,IF(E106&gt;90,59-F106,F106))))</f>
        <v>11</v>
      </c>
      <c r="J106" s="15"/>
      <c r="K106" s="15">
        <f>ABS(IF(E106&gt;270,60-G106,IF(E106&gt;180,G106,IF(E106&gt;90,60-G106,G106))))</f>
        <v>57</v>
      </c>
      <c r="L106" s="19">
        <f>(((K106/60)+I106)/60)+H106</f>
        <v>61.199166666666663</v>
      </c>
      <c r="M106" s="354"/>
      <c r="N106" s="373">
        <f>Varation!J57</f>
        <v>0</v>
      </c>
      <c r="O106" s="204"/>
      <c r="P106" s="373">
        <f>Varation!E57</f>
        <v>0</v>
      </c>
      <c r="Q106" s="19" t="e">
        <f>DEGREES(ATAN(P106/N106))</f>
        <v>#DIV/0!</v>
      </c>
      <c r="R106" s="18" t="e">
        <f>Q106-Q101</f>
        <v>#DIV/0!</v>
      </c>
      <c r="S106" s="18" t="e">
        <f>L106-R106</f>
        <v>#DIV/0!</v>
      </c>
    </row>
    <row r="107" spans="1:20" x14ac:dyDescent="0.2">
      <c r="A107" s="9"/>
      <c r="B107" s="13"/>
      <c r="C107" s="22"/>
      <c r="D107" s="193"/>
      <c r="E107" s="405"/>
      <c r="F107" s="403"/>
      <c r="G107" s="404"/>
      <c r="H107" s="14"/>
      <c r="I107" s="14"/>
      <c r="J107" s="15"/>
      <c r="K107" s="15"/>
      <c r="L107" s="19"/>
      <c r="M107" s="352"/>
      <c r="N107" s="260"/>
      <c r="O107" s="204"/>
      <c r="P107" s="260"/>
      <c r="Q107" s="19"/>
      <c r="R107" s="18"/>
      <c r="S107" s="18"/>
    </row>
    <row r="108" spans="1:20" ht="13.1" x14ac:dyDescent="0.25">
      <c r="A108" s="7"/>
      <c r="B108" s="6" t="s">
        <v>137</v>
      </c>
      <c r="C108" s="6">
        <v>8</v>
      </c>
      <c r="D108" s="193">
        <f>D24</f>
        <v>0.69166666666666676</v>
      </c>
      <c r="E108" s="402">
        <f>E24</f>
        <v>241</v>
      </c>
      <c r="F108" s="402">
        <f>F24</f>
        <v>12</v>
      </c>
      <c r="G108" s="402">
        <f>G24</f>
        <v>8</v>
      </c>
      <c r="H108" s="14">
        <f>ABS(IF(E108&gt;270,359-E108,IF(E108&gt;180,E108-180,IF(E108&gt;90,179-E108,E108))))</f>
        <v>61</v>
      </c>
      <c r="I108" s="14">
        <f>ABS(IF(E108&gt;270,59-F108,IF(E108&gt;180,F108,IF(E108&gt;90,59-F108,F108))))</f>
        <v>12</v>
      </c>
      <c r="J108" s="15"/>
      <c r="K108" s="15">
        <f>ABS(IF(E108&gt;270,60-G108,IF(E108&gt;180,G108,IF(E108&gt;90,60-G108,G108))))</f>
        <v>8</v>
      </c>
      <c r="L108" s="19">
        <f>(((K108/60)+I108)/60)+H108</f>
        <v>61.202222222222225</v>
      </c>
      <c r="M108" s="354"/>
      <c r="N108" s="380">
        <f>Varation!J59</f>
        <v>0</v>
      </c>
      <c r="O108" s="205"/>
      <c r="P108" s="373">
        <f>Varation!E59</f>
        <v>0</v>
      </c>
      <c r="Q108" s="24" t="e">
        <f>DEGREES(ATAN(P108/N108))</f>
        <v>#DIV/0!</v>
      </c>
      <c r="R108" s="18" t="e">
        <f>Q108-Q101</f>
        <v>#DIV/0!</v>
      </c>
      <c r="S108" s="18" t="e">
        <f>L108-R108</f>
        <v>#DIV/0!</v>
      </c>
    </row>
    <row r="109" spans="1:20" x14ac:dyDescent="0.2">
      <c r="A109" s="53"/>
      <c r="B109" s="114" t="s">
        <v>168</v>
      </c>
      <c r="C109" s="115"/>
      <c r="D109" s="116"/>
      <c r="E109" s="116"/>
      <c r="F109" s="116"/>
      <c r="G109" s="116"/>
      <c r="H109" s="117"/>
      <c r="I109" s="117"/>
      <c r="J109" s="117"/>
      <c r="K109" s="117" t="s">
        <v>35</v>
      </c>
      <c r="L109" s="118">
        <f>AVERAGE(L102,L104,L106,L108)</f>
        <v>61.434513888888887</v>
      </c>
      <c r="M109" s="118"/>
      <c r="N109" s="98"/>
      <c r="O109" s="101" t="s">
        <v>37</v>
      </c>
      <c r="P109" s="119">
        <f>SIN(RADIANS(L109))</f>
        <v>0.87827117099632979</v>
      </c>
      <c r="Q109" s="119"/>
      <c r="R109" s="120" t="s">
        <v>34</v>
      </c>
      <c r="S109" s="102" t="e">
        <f>AVERAGE(S102,S104,S106,S108)</f>
        <v>#DIV/0!</v>
      </c>
    </row>
    <row r="110" spans="1:20" x14ac:dyDescent="0.2">
      <c r="A110" s="55"/>
      <c r="B110" s="91"/>
      <c r="C110" s="91"/>
      <c r="D110" s="91"/>
      <c r="E110" s="91"/>
      <c r="F110" s="91"/>
      <c r="G110" s="91"/>
      <c r="H110" s="91"/>
      <c r="I110" s="91"/>
      <c r="J110" s="91"/>
      <c r="K110" s="91"/>
      <c r="L110" s="253"/>
      <c r="M110" s="91"/>
      <c r="N110" s="91"/>
      <c r="O110" s="109" t="s">
        <v>36</v>
      </c>
      <c r="P110" s="108">
        <f>COS(RADIANS(L109))</f>
        <v>0.47816289086119568</v>
      </c>
      <c r="Q110" s="91"/>
      <c r="R110" s="91"/>
      <c r="S110" s="121"/>
      <c r="T110" s="44"/>
    </row>
    <row r="113" spans="3:19" ht="13.1" x14ac:dyDescent="0.25">
      <c r="C113" s="111" t="s">
        <v>191</v>
      </c>
      <c r="D113" s="112"/>
      <c r="E113" s="112"/>
      <c r="F113" s="112"/>
      <c r="G113" s="112"/>
      <c r="H113" s="112"/>
      <c r="I113" s="112"/>
      <c r="J113" s="112"/>
      <c r="K113" s="112"/>
      <c r="L113" s="113"/>
      <c r="R113" s="324" t="s">
        <v>183</v>
      </c>
      <c r="S113" s="326" t="e">
        <f>((S102+S104-S106-S108)/4)*60</f>
        <v>#DIV/0!</v>
      </c>
    </row>
  </sheetData>
  <mergeCells count="8">
    <mergeCell ref="E98:G99"/>
    <mergeCell ref="H98:K98"/>
    <mergeCell ref="H14:K14"/>
    <mergeCell ref="E14:G15"/>
    <mergeCell ref="E40:G41"/>
    <mergeCell ref="H40:K40"/>
    <mergeCell ref="E67:G68"/>
    <mergeCell ref="H67:K67"/>
  </mergeCells>
  <phoneticPr fontId="0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workbookViewId="0">
      <selection activeCell="K27" sqref="K27"/>
    </sheetView>
  </sheetViews>
  <sheetFormatPr defaultColWidth="11.375" defaultRowHeight="12.45" x14ac:dyDescent="0.2"/>
  <cols>
    <col min="1" max="1" width="10.125" customWidth="1"/>
    <col min="2" max="2" width="8.125" style="217" customWidth="1"/>
    <col min="3" max="3" width="10" customWidth="1"/>
    <col min="4" max="4" width="8.75" customWidth="1"/>
    <col min="5" max="5" width="10.25" customWidth="1"/>
    <col min="6" max="6" width="8.625" customWidth="1"/>
    <col min="7" max="7" width="6.125" customWidth="1"/>
    <col min="8" max="8" width="10.75" customWidth="1"/>
    <col min="9" max="9" width="9" customWidth="1"/>
    <col min="10" max="10" width="10.125" customWidth="1"/>
    <col min="11" max="11" width="10.625" customWidth="1"/>
    <col min="12" max="12" width="6" bestFit="1" customWidth="1"/>
  </cols>
  <sheetData>
    <row r="1" spans="1:10" ht="13.1" x14ac:dyDescent="0.2">
      <c r="A1" s="265" t="s">
        <v>105</v>
      </c>
      <c r="B1" s="266" t="s">
        <v>106</v>
      </c>
      <c r="C1" s="265" t="s">
        <v>107</v>
      </c>
      <c r="D1" s="265" t="s">
        <v>108</v>
      </c>
      <c r="E1" s="265" t="s">
        <v>109</v>
      </c>
      <c r="F1" s="265" t="s">
        <v>39</v>
      </c>
      <c r="G1" s="33"/>
      <c r="H1" s="278"/>
    </row>
    <row r="2" spans="1:10" x14ac:dyDescent="0.2">
      <c r="A2" s="339">
        <v>45078</v>
      </c>
      <c r="B2" s="340">
        <v>0.6333333333333333</v>
      </c>
      <c r="C2" s="343"/>
      <c r="D2" s="343"/>
      <c r="E2" s="343"/>
      <c r="F2" s="267">
        <v>48100</v>
      </c>
      <c r="G2" s="279" t="s">
        <v>114</v>
      </c>
      <c r="H2" s="457" t="s">
        <v>122</v>
      </c>
    </row>
    <row r="3" spans="1:10" x14ac:dyDescent="0.2">
      <c r="A3" s="270"/>
      <c r="B3" s="268"/>
      <c r="C3" s="344"/>
      <c r="D3" s="344"/>
      <c r="E3" s="344"/>
      <c r="F3" s="267"/>
      <c r="G3" s="453" t="s">
        <v>12</v>
      </c>
      <c r="H3" s="458"/>
    </row>
    <row r="4" spans="1:10" x14ac:dyDescent="0.2">
      <c r="A4" s="281">
        <f>A2</f>
        <v>45078</v>
      </c>
      <c r="B4" s="340">
        <v>0.64479166666666665</v>
      </c>
      <c r="C4" s="343"/>
      <c r="D4" s="343"/>
      <c r="E4" s="343"/>
      <c r="F4" s="267">
        <v>48250</v>
      </c>
      <c r="G4" s="454"/>
      <c r="H4" s="458"/>
      <c r="J4" s="219"/>
    </row>
    <row r="5" spans="1:10" x14ac:dyDescent="0.2">
      <c r="A5" s="270"/>
      <c r="B5" s="268"/>
      <c r="C5" s="344"/>
      <c r="D5" s="344"/>
      <c r="E5" s="344"/>
      <c r="F5" s="267"/>
      <c r="G5" s="454"/>
      <c r="H5" s="458"/>
    </row>
    <row r="6" spans="1:10" x14ac:dyDescent="0.2">
      <c r="A6" s="281">
        <f>A2</f>
        <v>45078</v>
      </c>
      <c r="B6" s="340">
        <v>0.65798611111111105</v>
      </c>
      <c r="C6" s="343"/>
      <c r="D6" s="343"/>
      <c r="E6" s="343"/>
      <c r="F6" s="267">
        <v>48150</v>
      </c>
      <c r="G6" s="454"/>
      <c r="H6" s="458"/>
    </row>
    <row r="7" spans="1:10" x14ac:dyDescent="0.2">
      <c r="A7" s="270"/>
      <c r="B7" s="268"/>
      <c r="C7" s="344"/>
      <c r="D7" s="344"/>
      <c r="E7" s="344"/>
      <c r="F7" s="267"/>
      <c r="G7" s="454"/>
      <c r="H7" s="458"/>
    </row>
    <row r="8" spans="1:10" x14ac:dyDescent="0.2">
      <c r="A8" s="281">
        <f>A2</f>
        <v>45078</v>
      </c>
      <c r="B8" s="340">
        <v>0.66342592592592597</v>
      </c>
      <c r="C8" s="343"/>
      <c r="D8" s="343"/>
      <c r="E8" s="343"/>
      <c r="F8" s="267">
        <v>48333</v>
      </c>
      <c r="G8" s="455"/>
      <c r="H8" s="458"/>
    </row>
    <row r="9" spans="1:10" ht="13.75" customHeight="1" x14ac:dyDescent="0.2">
      <c r="A9" s="273"/>
      <c r="B9" s="274"/>
      <c r="C9" s="275"/>
      <c r="D9" s="275"/>
      <c r="E9" s="275"/>
      <c r="F9" s="276"/>
      <c r="G9" s="277"/>
      <c r="H9" s="458"/>
    </row>
    <row r="10" spans="1:10" x14ac:dyDescent="0.2">
      <c r="A10" s="281">
        <f>A2</f>
        <v>45078</v>
      </c>
      <c r="B10" s="340">
        <v>0.67592592592592593</v>
      </c>
      <c r="C10" s="343"/>
      <c r="D10" s="343"/>
      <c r="E10" s="343"/>
      <c r="F10" s="267">
        <v>48100</v>
      </c>
      <c r="G10" s="456" t="s">
        <v>32</v>
      </c>
      <c r="H10" s="458"/>
    </row>
    <row r="11" spans="1:10" x14ac:dyDescent="0.2">
      <c r="A11" s="333"/>
      <c r="B11" s="268"/>
      <c r="C11" s="344"/>
      <c r="D11" s="344"/>
      <c r="E11" s="344"/>
      <c r="F11" s="267"/>
      <c r="G11" s="454"/>
      <c r="H11" s="458"/>
    </row>
    <row r="12" spans="1:10" x14ac:dyDescent="0.2">
      <c r="A12" s="281">
        <f>A2</f>
        <v>45078</v>
      </c>
      <c r="B12" s="340">
        <v>0.6777777777777777</v>
      </c>
      <c r="C12" s="343"/>
      <c r="D12" s="343"/>
      <c r="E12" s="343"/>
      <c r="F12" s="267">
        <v>48250</v>
      </c>
      <c r="G12" s="454"/>
      <c r="H12" s="458"/>
    </row>
    <row r="13" spans="1:10" x14ac:dyDescent="0.2">
      <c r="A13" s="333"/>
      <c r="B13" s="268"/>
      <c r="C13" s="344"/>
      <c r="D13" s="344"/>
      <c r="E13" s="344"/>
      <c r="F13" s="267"/>
      <c r="G13" s="454"/>
      <c r="H13" s="458"/>
    </row>
    <row r="14" spans="1:10" x14ac:dyDescent="0.2">
      <c r="A14" s="281">
        <f>A2</f>
        <v>45078</v>
      </c>
      <c r="B14" s="340">
        <v>0.68819444444444444</v>
      </c>
      <c r="C14" s="343"/>
      <c r="D14" s="343"/>
      <c r="E14" s="343"/>
      <c r="F14" s="267">
        <v>48150</v>
      </c>
      <c r="G14" s="454"/>
      <c r="H14" s="458"/>
    </row>
    <row r="15" spans="1:10" x14ac:dyDescent="0.2">
      <c r="A15" s="333"/>
      <c r="B15" s="268"/>
      <c r="C15" s="344"/>
      <c r="D15" s="344"/>
      <c r="E15" s="344"/>
      <c r="F15" s="267"/>
      <c r="G15" s="454"/>
      <c r="H15" s="458"/>
    </row>
    <row r="16" spans="1:10" x14ac:dyDescent="0.2">
      <c r="A16" s="282">
        <f>A12</f>
        <v>45078</v>
      </c>
      <c r="B16" s="340">
        <v>0.69166666666666676</v>
      </c>
      <c r="C16" s="343"/>
      <c r="D16" s="343"/>
      <c r="E16" s="343"/>
      <c r="F16" s="267">
        <v>48333</v>
      </c>
      <c r="G16" s="455"/>
      <c r="H16" s="459"/>
    </row>
    <row r="17" spans="1:8" x14ac:dyDescent="0.2">
      <c r="H17" s="216"/>
    </row>
    <row r="18" spans="1:8" x14ac:dyDescent="0.2">
      <c r="A18" s="334" t="s">
        <v>176</v>
      </c>
      <c r="B18" s="334"/>
      <c r="C18" s="334"/>
      <c r="D18" s="335"/>
      <c r="E18" s="335"/>
      <c r="F18" s="335"/>
      <c r="H18" s="216"/>
    </row>
    <row r="19" spans="1:8" x14ac:dyDescent="0.2">
      <c r="A19" s="225"/>
      <c r="B19" s="219"/>
      <c r="C19" s="226"/>
      <c r="H19" s="216"/>
    </row>
    <row r="20" spans="1:8" x14ac:dyDescent="0.2">
      <c r="A20" s="225"/>
      <c r="B20" s="219"/>
      <c r="H20" s="216"/>
    </row>
    <row r="21" spans="1:8" x14ac:dyDescent="0.2">
      <c r="A21" s="225"/>
      <c r="B21" s="219"/>
      <c r="H21" s="216"/>
    </row>
    <row r="22" spans="1:8" x14ac:dyDescent="0.2">
      <c r="A22" s="225"/>
      <c r="B22" s="219"/>
      <c r="H22" s="216"/>
    </row>
    <row r="23" spans="1:8" x14ac:dyDescent="0.2">
      <c r="A23" s="225"/>
      <c r="B23" s="219"/>
      <c r="H23" s="216"/>
    </row>
    <row r="24" spans="1:8" x14ac:dyDescent="0.2">
      <c r="A24" s="225"/>
      <c r="B24" s="219"/>
      <c r="C24" s="226"/>
      <c r="H24" s="216"/>
    </row>
    <row r="25" spans="1:8" x14ac:dyDescent="0.2">
      <c r="A25" s="225"/>
      <c r="B25" s="219"/>
      <c r="H25" s="216"/>
    </row>
    <row r="26" spans="1:8" ht="13.1" x14ac:dyDescent="0.2">
      <c r="A26" s="265" t="s">
        <v>105</v>
      </c>
      <c r="B26" s="266" t="s">
        <v>106</v>
      </c>
      <c r="C26" s="280" t="s">
        <v>142</v>
      </c>
      <c r="D26" s="280" t="s">
        <v>141</v>
      </c>
      <c r="E26" s="265" t="s">
        <v>39</v>
      </c>
      <c r="F26" s="243"/>
      <c r="G26" s="33"/>
      <c r="H26" s="278"/>
    </row>
    <row r="27" spans="1:8" ht="13.1" x14ac:dyDescent="0.2">
      <c r="A27" s="270">
        <f>A2</f>
        <v>45078</v>
      </c>
      <c r="B27" s="283">
        <f>B2</f>
        <v>0.6333333333333333</v>
      </c>
      <c r="C27" s="345"/>
      <c r="D27" s="345"/>
      <c r="E27" s="267">
        <v>48100</v>
      </c>
      <c r="F27" s="279" t="s">
        <v>114</v>
      </c>
      <c r="G27" s="456" t="s">
        <v>140</v>
      </c>
      <c r="H27" s="278"/>
    </row>
    <row r="28" spans="1:8" ht="13.1" x14ac:dyDescent="0.2">
      <c r="A28" s="270"/>
      <c r="B28" s="269"/>
      <c r="C28" s="346"/>
      <c r="D28" s="346"/>
      <c r="E28" s="267"/>
      <c r="F28" s="453" t="s">
        <v>12</v>
      </c>
      <c r="G28" s="453"/>
      <c r="H28" s="278"/>
    </row>
    <row r="29" spans="1:8" ht="13.1" x14ac:dyDescent="0.2">
      <c r="A29" s="270">
        <f>A4</f>
        <v>45078</v>
      </c>
      <c r="B29" s="268">
        <f>B4</f>
        <v>0.64479166666666665</v>
      </c>
      <c r="C29" s="345"/>
      <c r="D29" s="345"/>
      <c r="E29" s="267">
        <v>48250</v>
      </c>
      <c r="F29" s="453"/>
      <c r="G29" s="453"/>
      <c r="H29" s="278"/>
    </row>
    <row r="30" spans="1:8" ht="13.1" x14ac:dyDescent="0.2">
      <c r="A30" s="270"/>
      <c r="B30" s="270"/>
      <c r="C30" s="346"/>
      <c r="D30" s="346"/>
      <c r="E30" s="267"/>
      <c r="F30" s="453"/>
      <c r="G30" s="453"/>
      <c r="H30" s="278"/>
    </row>
    <row r="31" spans="1:8" ht="13.1" x14ac:dyDescent="0.2">
      <c r="A31" s="270">
        <f>A6</f>
        <v>45078</v>
      </c>
      <c r="B31" s="268">
        <f>B6</f>
        <v>0.65798611111111105</v>
      </c>
      <c r="C31" s="345"/>
      <c r="D31" s="345"/>
      <c r="E31" s="267">
        <v>48150</v>
      </c>
      <c r="F31" s="453"/>
      <c r="G31" s="453"/>
      <c r="H31" s="278"/>
    </row>
    <row r="32" spans="1:8" ht="13.1" x14ac:dyDescent="0.2">
      <c r="A32" s="270"/>
      <c r="B32" s="270"/>
      <c r="C32" s="346"/>
      <c r="D32" s="346"/>
      <c r="E32" s="267"/>
      <c r="F32" s="453"/>
      <c r="G32" s="453"/>
      <c r="H32" s="278"/>
    </row>
    <row r="33" spans="1:11" ht="13.1" x14ac:dyDescent="0.2">
      <c r="A33" s="272">
        <f>A8</f>
        <v>45078</v>
      </c>
      <c r="B33" s="268">
        <f>B8</f>
        <v>0.66342592592592597</v>
      </c>
      <c r="C33" s="345"/>
      <c r="D33" s="345"/>
      <c r="E33" s="267">
        <v>48333</v>
      </c>
      <c r="F33" s="460"/>
      <c r="G33" s="453"/>
      <c r="H33" s="278"/>
    </row>
    <row r="34" spans="1:11" ht="13.1" x14ac:dyDescent="0.2">
      <c r="A34" s="273"/>
      <c r="B34" s="274"/>
      <c r="C34" s="347"/>
      <c r="D34" s="347"/>
      <c r="E34" s="276"/>
      <c r="F34" s="277"/>
      <c r="G34" s="453"/>
      <c r="H34" s="278"/>
    </row>
    <row r="35" spans="1:11" ht="13.1" x14ac:dyDescent="0.2">
      <c r="A35" s="281">
        <f>A10</f>
        <v>45078</v>
      </c>
      <c r="B35" s="268">
        <f>B10</f>
        <v>0.67592592592592593</v>
      </c>
      <c r="C35" s="345"/>
      <c r="D35" s="345"/>
      <c r="E35" s="267">
        <v>48100</v>
      </c>
      <c r="F35" s="456" t="s">
        <v>32</v>
      </c>
      <c r="G35" s="453"/>
      <c r="H35" s="278"/>
    </row>
    <row r="36" spans="1:11" ht="13.1" x14ac:dyDescent="0.2">
      <c r="A36" s="270"/>
      <c r="B36" s="268"/>
      <c r="C36" s="346"/>
      <c r="D36" s="346"/>
      <c r="E36" s="267"/>
      <c r="F36" s="453"/>
      <c r="G36" s="453"/>
      <c r="H36" s="278"/>
    </row>
    <row r="37" spans="1:11" ht="13.1" x14ac:dyDescent="0.2">
      <c r="A37" s="270">
        <f>A12</f>
        <v>45078</v>
      </c>
      <c r="B37" s="268">
        <f>B12</f>
        <v>0.6777777777777777</v>
      </c>
      <c r="C37" s="345"/>
      <c r="D37" s="345"/>
      <c r="E37" s="267">
        <v>48250</v>
      </c>
      <c r="F37" s="453"/>
      <c r="G37" s="453"/>
      <c r="H37" s="278"/>
      <c r="I37" s="216"/>
    </row>
    <row r="38" spans="1:11" ht="13.1" x14ac:dyDescent="0.2">
      <c r="A38" s="270"/>
      <c r="B38" s="268"/>
      <c r="C38" s="346"/>
      <c r="D38" s="346"/>
      <c r="E38" s="267"/>
      <c r="F38" s="453"/>
      <c r="G38" s="453"/>
      <c r="H38" s="278"/>
      <c r="I38" s="216"/>
    </row>
    <row r="39" spans="1:11" ht="13.1" x14ac:dyDescent="0.2">
      <c r="A39" s="270">
        <f>A14</f>
        <v>45078</v>
      </c>
      <c r="B39" s="268">
        <f>B14</f>
        <v>0.68819444444444444</v>
      </c>
      <c r="C39" s="345"/>
      <c r="D39" s="345"/>
      <c r="E39" s="267">
        <v>48150</v>
      </c>
      <c r="F39" s="453"/>
      <c r="G39" s="453"/>
      <c r="H39" s="278"/>
    </row>
    <row r="40" spans="1:11" ht="13.1" x14ac:dyDescent="0.2">
      <c r="A40" s="270"/>
      <c r="B40" s="268"/>
      <c r="C40" s="346"/>
      <c r="D40" s="346"/>
      <c r="E40" s="267"/>
      <c r="F40" s="453"/>
      <c r="G40" s="453"/>
      <c r="H40" s="278"/>
      <c r="I40" s="216"/>
    </row>
    <row r="41" spans="1:11" ht="13.1" x14ac:dyDescent="0.2">
      <c r="A41" s="272">
        <f>A16</f>
        <v>45078</v>
      </c>
      <c r="B41" s="271">
        <f>B16</f>
        <v>0.69166666666666676</v>
      </c>
      <c r="C41" s="345"/>
      <c r="D41" s="345"/>
      <c r="E41" s="267">
        <v>48333</v>
      </c>
      <c r="F41" s="460"/>
      <c r="G41" s="460"/>
      <c r="H41" s="278"/>
      <c r="I41" s="216"/>
    </row>
    <row r="42" spans="1:11" x14ac:dyDescent="0.2">
      <c r="H42" s="216"/>
      <c r="I42" s="216"/>
    </row>
    <row r="43" spans="1:11" ht="13.1" x14ac:dyDescent="0.25">
      <c r="J43" s="452" t="s">
        <v>190</v>
      </c>
      <c r="K43" s="452"/>
    </row>
    <row r="44" spans="1:11" ht="13.1" x14ac:dyDescent="0.2">
      <c r="A44" s="265" t="s">
        <v>105</v>
      </c>
      <c r="B44" s="363" t="s">
        <v>106</v>
      </c>
      <c r="C44" s="265" t="s">
        <v>188</v>
      </c>
      <c r="D44" s="265" t="s">
        <v>189</v>
      </c>
      <c r="E44" s="265" t="s">
        <v>109</v>
      </c>
      <c r="F44" s="265" t="s">
        <v>39</v>
      </c>
      <c r="G44" s="33"/>
      <c r="H44" s="278"/>
      <c r="J44" s="385" t="s">
        <v>107</v>
      </c>
      <c r="K44" s="385" t="s">
        <v>142</v>
      </c>
    </row>
    <row r="45" spans="1:11" ht="12.45" customHeight="1" x14ac:dyDescent="0.2">
      <c r="A45" s="406">
        <f>A2</f>
        <v>45078</v>
      </c>
      <c r="B45" s="366">
        <f>B2</f>
        <v>0.6333333333333333</v>
      </c>
      <c r="C45" s="369"/>
      <c r="D45" s="348"/>
      <c r="E45" s="348"/>
      <c r="F45" s="267">
        <f>E27</f>
        <v>48100</v>
      </c>
      <c r="G45" s="279" t="s">
        <v>114</v>
      </c>
      <c r="H45" s="457" t="s">
        <v>187</v>
      </c>
      <c r="J45" s="386">
        <f>SQRT(C45^2 + D45^2)</f>
        <v>0</v>
      </c>
      <c r="K45" s="387" t="e">
        <f>DEGREES(ATAN(D45/C45))</f>
        <v>#DIV/0!</v>
      </c>
    </row>
    <row r="46" spans="1:11" ht="12.45" customHeight="1" x14ac:dyDescent="0.2">
      <c r="A46" s="333"/>
      <c r="B46" s="367"/>
      <c r="C46" s="383"/>
      <c r="D46" s="267"/>
      <c r="E46" s="267"/>
      <c r="F46" s="267"/>
      <c r="G46" s="453" t="s">
        <v>12</v>
      </c>
      <c r="H46" s="458"/>
      <c r="J46" s="386"/>
      <c r="K46" s="387"/>
    </row>
    <row r="47" spans="1:11" ht="12.45" customHeight="1" x14ac:dyDescent="0.2">
      <c r="A47" s="362">
        <f>A45</f>
        <v>45078</v>
      </c>
      <c r="B47" s="367">
        <f>B4</f>
        <v>0.64479166666666665</v>
      </c>
      <c r="C47" s="369"/>
      <c r="D47" s="348"/>
      <c r="E47" s="348"/>
      <c r="F47" s="267">
        <f>E29</f>
        <v>48250</v>
      </c>
      <c r="G47" s="454"/>
      <c r="H47" s="458"/>
      <c r="J47" s="386">
        <f>SQRT(C47^2 + D47^2)</f>
        <v>0</v>
      </c>
      <c r="K47" s="387" t="e">
        <f>DEGREES(ATAN(D47/C47))</f>
        <v>#DIV/0!</v>
      </c>
    </row>
    <row r="48" spans="1:11" ht="12.45" customHeight="1" x14ac:dyDescent="0.2">
      <c r="A48" s="333"/>
      <c r="B48" s="367"/>
      <c r="C48" s="383"/>
      <c r="D48" s="267"/>
      <c r="E48" s="267"/>
      <c r="F48" s="267"/>
      <c r="G48" s="454"/>
      <c r="H48" s="458"/>
      <c r="J48" s="386"/>
      <c r="K48" s="387"/>
    </row>
    <row r="49" spans="1:11" ht="12.45" customHeight="1" x14ac:dyDescent="0.2">
      <c r="A49" s="362">
        <f>A45</f>
        <v>45078</v>
      </c>
      <c r="B49" s="367">
        <f>B6</f>
        <v>0.65798611111111105</v>
      </c>
      <c r="C49" s="369"/>
      <c r="D49" s="348"/>
      <c r="E49" s="348"/>
      <c r="F49" s="267">
        <f>E31</f>
        <v>48150</v>
      </c>
      <c r="G49" s="454"/>
      <c r="H49" s="458"/>
      <c r="J49" s="386">
        <f>SQRT(C49^2 + D49^2)</f>
        <v>0</v>
      </c>
      <c r="K49" s="387" t="e">
        <f>DEGREES(ATAN(D49/C49))</f>
        <v>#DIV/0!</v>
      </c>
    </row>
    <row r="50" spans="1:11" ht="12.45" customHeight="1" x14ac:dyDescent="0.2">
      <c r="A50" s="333"/>
      <c r="B50" s="367"/>
      <c r="C50" s="383"/>
      <c r="D50" s="267"/>
      <c r="E50" s="267"/>
      <c r="F50" s="267"/>
      <c r="G50" s="454"/>
      <c r="H50" s="458"/>
      <c r="J50" s="386"/>
      <c r="K50" s="387"/>
    </row>
    <row r="51" spans="1:11" ht="12.45" customHeight="1" x14ac:dyDescent="0.2">
      <c r="A51" s="362">
        <f>A45</f>
        <v>45078</v>
      </c>
      <c r="B51" s="367">
        <f>B8</f>
        <v>0.66342592592592597</v>
      </c>
      <c r="C51" s="369"/>
      <c r="D51" s="348"/>
      <c r="E51" s="348"/>
      <c r="F51" s="267">
        <f>E33</f>
        <v>48333</v>
      </c>
      <c r="G51" s="455"/>
      <c r="H51" s="458"/>
      <c r="J51" s="386">
        <f>SQRT(C51^2 + D51^2)</f>
        <v>0</v>
      </c>
      <c r="K51" s="387" t="e">
        <f>DEGREES(ATAN(D51/C51))</f>
        <v>#DIV/0!</v>
      </c>
    </row>
    <row r="52" spans="1:11" ht="12.45" customHeight="1" x14ac:dyDescent="0.2">
      <c r="A52" s="365"/>
      <c r="B52" s="274"/>
      <c r="C52" s="384"/>
      <c r="D52" s="276"/>
      <c r="E52" s="276"/>
      <c r="F52" s="276"/>
      <c r="G52" s="277"/>
      <c r="H52" s="458"/>
      <c r="J52" s="388"/>
      <c r="K52" s="389"/>
    </row>
    <row r="53" spans="1:11" ht="12.45" customHeight="1" x14ac:dyDescent="0.2">
      <c r="A53" s="362">
        <f>A45</f>
        <v>45078</v>
      </c>
      <c r="B53" s="367">
        <f>B10</f>
        <v>0.67592592592592593</v>
      </c>
      <c r="C53" s="369"/>
      <c r="D53" s="348"/>
      <c r="E53" s="348"/>
      <c r="F53" s="267">
        <f>E35</f>
        <v>48100</v>
      </c>
      <c r="G53" s="456" t="s">
        <v>32</v>
      </c>
      <c r="H53" s="458"/>
      <c r="J53" s="386">
        <f>SQRT(C53^2 + D53^2)</f>
        <v>0</v>
      </c>
      <c r="K53" s="387" t="e">
        <f>DEGREES(ATAN(D53/C53))</f>
        <v>#DIV/0!</v>
      </c>
    </row>
    <row r="54" spans="1:11" ht="12.45" customHeight="1" x14ac:dyDescent="0.2">
      <c r="A54" s="333"/>
      <c r="B54" s="367"/>
      <c r="C54" s="383"/>
      <c r="D54" s="267"/>
      <c r="E54" s="267"/>
      <c r="F54" s="267"/>
      <c r="G54" s="454"/>
      <c r="H54" s="458"/>
      <c r="J54" s="386"/>
      <c r="K54" s="387"/>
    </row>
    <row r="55" spans="1:11" ht="12.45" customHeight="1" x14ac:dyDescent="0.2">
      <c r="A55" s="362">
        <f>A45</f>
        <v>45078</v>
      </c>
      <c r="B55" s="367">
        <f>B12</f>
        <v>0.6777777777777777</v>
      </c>
      <c r="C55" s="369"/>
      <c r="D55" s="348"/>
      <c r="E55" s="348"/>
      <c r="F55" s="267">
        <f>E37</f>
        <v>48250</v>
      </c>
      <c r="G55" s="454"/>
      <c r="H55" s="458"/>
      <c r="J55" s="386">
        <f>SQRT(C55^2 + D55^2)</f>
        <v>0</v>
      </c>
      <c r="K55" s="387" t="e">
        <f>DEGREES(ATAN(D55/C55))</f>
        <v>#DIV/0!</v>
      </c>
    </row>
    <row r="56" spans="1:11" ht="12.45" customHeight="1" x14ac:dyDescent="0.2">
      <c r="A56" s="333"/>
      <c r="B56" s="368"/>
      <c r="C56" s="383"/>
      <c r="D56" s="267"/>
      <c r="E56" s="267"/>
      <c r="F56" s="267"/>
      <c r="G56" s="454"/>
      <c r="H56" s="458"/>
      <c r="J56" s="386"/>
      <c r="K56" s="387"/>
    </row>
    <row r="57" spans="1:11" ht="12.45" customHeight="1" x14ac:dyDescent="0.2">
      <c r="A57" s="362">
        <f>A45</f>
        <v>45078</v>
      </c>
      <c r="B57" s="367">
        <f>B14</f>
        <v>0.68819444444444444</v>
      </c>
      <c r="C57" s="369"/>
      <c r="D57" s="348"/>
      <c r="E57" s="348"/>
      <c r="F57" s="267">
        <f>E39</f>
        <v>48150</v>
      </c>
      <c r="G57" s="454"/>
      <c r="H57" s="458"/>
      <c r="J57" s="386">
        <f>SQRT(C57^2 + D57^2)</f>
        <v>0</v>
      </c>
      <c r="K57" s="387" t="e">
        <f>DEGREES(ATAN(D57/C57))</f>
        <v>#DIV/0!</v>
      </c>
    </row>
    <row r="58" spans="1:11" ht="12.45" customHeight="1" x14ac:dyDescent="0.2">
      <c r="A58" s="333"/>
      <c r="B58" s="368"/>
      <c r="C58" s="383"/>
      <c r="D58" s="267"/>
      <c r="E58" s="267"/>
      <c r="F58" s="267"/>
      <c r="G58" s="454"/>
      <c r="H58" s="458"/>
      <c r="J58" s="386"/>
      <c r="K58" s="387"/>
    </row>
    <row r="59" spans="1:11" ht="12.45" customHeight="1" x14ac:dyDescent="0.2">
      <c r="A59" s="364">
        <f>A55</f>
        <v>45078</v>
      </c>
      <c r="B59" s="367">
        <f>B16</f>
        <v>0.69166666666666676</v>
      </c>
      <c r="C59" s="369"/>
      <c r="D59" s="348"/>
      <c r="E59" s="348"/>
      <c r="F59" s="267">
        <f>E41</f>
        <v>48333</v>
      </c>
      <c r="G59" s="455"/>
      <c r="H59" s="459"/>
      <c r="J59" s="386">
        <f>SQRT(C59^2 + D59^2)</f>
        <v>0</v>
      </c>
      <c r="K59" s="387" t="e">
        <f>DEGREES(ATAN(D59/C59))</f>
        <v>#DIV/0!</v>
      </c>
    </row>
  </sheetData>
  <mergeCells count="10">
    <mergeCell ref="H45:H59"/>
    <mergeCell ref="G46:G51"/>
    <mergeCell ref="G53:G59"/>
    <mergeCell ref="F28:F33"/>
    <mergeCell ref="F35:F41"/>
    <mergeCell ref="J43:K43"/>
    <mergeCell ref="G3:G8"/>
    <mergeCell ref="G10:G16"/>
    <mergeCell ref="H2:H16"/>
    <mergeCell ref="G27:G41"/>
  </mergeCells>
  <phoneticPr fontId="0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0"/>
  <sheetViews>
    <sheetView workbookViewId="0">
      <selection activeCell="G43" sqref="G43"/>
    </sheetView>
  </sheetViews>
  <sheetFormatPr defaultColWidth="11.375" defaultRowHeight="12.45" x14ac:dyDescent="0.2"/>
  <cols>
    <col min="1" max="1" width="3.125" customWidth="1"/>
    <col min="2" max="2" width="5.375" customWidth="1"/>
    <col min="3" max="3" width="3.375" customWidth="1"/>
    <col min="4" max="4" width="7" customWidth="1"/>
    <col min="5" max="5" width="3.375" customWidth="1"/>
    <col min="6" max="6" width="3.25" customWidth="1"/>
    <col min="7" max="8" width="3.375" customWidth="1"/>
    <col min="9" max="10" width="3.25" customWidth="1"/>
    <col min="11" max="11" width="8.75" customWidth="1"/>
    <col min="12" max="12" width="0.125" hidden="1" customWidth="1"/>
    <col min="13" max="13" width="1.625" customWidth="1"/>
    <col min="14" max="14" width="6.125" style="8" customWidth="1"/>
    <col min="15" max="15" width="1.875" customWidth="1"/>
    <col min="16" max="16" width="8.625" customWidth="1"/>
    <col min="17" max="18" width="9.625" customWidth="1"/>
    <col min="19" max="19" width="6.75" customWidth="1"/>
  </cols>
  <sheetData>
    <row r="1" spans="1:15" ht="15.75" customHeight="1" x14ac:dyDescent="0.25">
      <c r="A1" s="52" t="s">
        <v>184</v>
      </c>
      <c r="I1" s="45"/>
      <c r="J1" s="45"/>
      <c r="K1" s="45"/>
      <c r="L1" s="45"/>
      <c r="M1" s="45"/>
      <c r="N1" s="77"/>
      <c r="O1" s="1"/>
    </row>
    <row r="2" spans="1:15" ht="15.75" customHeight="1" x14ac:dyDescent="0.25">
      <c r="A2" s="52" t="s">
        <v>159</v>
      </c>
      <c r="I2" s="45"/>
      <c r="J2" s="45"/>
      <c r="K2" s="45"/>
      <c r="L2" s="45"/>
      <c r="M2" s="45"/>
      <c r="N2" s="77"/>
      <c r="O2" s="1"/>
    </row>
    <row r="3" spans="1:15" ht="15.75" customHeight="1" x14ac:dyDescent="0.25">
      <c r="A3" s="52" t="s">
        <v>157</v>
      </c>
      <c r="B3" s="52"/>
      <c r="C3" s="52"/>
      <c r="D3" s="52"/>
      <c r="E3" s="52"/>
      <c r="F3" s="52"/>
      <c r="G3" s="52"/>
      <c r="H3" s="52"/>
      <c r="I3" s="45"/>
      <c r="J3" s="45"/>
      <c r="K3" s="45"/>
      <c r="L3" s="45"/>
      <c r="M3" s="45"/>
      <c r="N3" s="77"/>
      <c r="O3" s="1"/>
    </row>
    <row r="4" spans="1:15" ht="15.75" customHeight="1" x14ac:dyDescent="0.2">
      <c r="A4" s="334" t="s">
        <v>176</v>
      </c>
      <c r="B4" s="334"/>
      <c r="C4" s="334"/>
      <c r="D4" s="334"/>
      <c r="E4" s="334"/>
      <c r="F4" s="334"/>
      <c r="G4" s="1"/>
      <c r="H4" s="1"/>
      <c r="I4" s="1"/>
      <c r="J4" s="1"/>
      <c r="K4" s="1"/>
      <c r="L4" s="1"/>
      <c r="M4" s="1"/>
      <c r="N4" s="77"/>
      <c r="O4" s="1"/>
    </row>
    <row r="5" spans="1:15" ht="15.75" customHeight="1" x14ac:dyDescent="0.2"/>
    <row r="6" spans="1:15" ht="14.1" customHeight="1" x14ac:dyDescent="0.2">
      <c r="B6" s="177" t="s">
        <v>115</v>
      </c>
      <c r="C6" s="178"/>
      <c r="D6" s="178"/>
      <c r="E6" s="178"/>
      <c r="F6" s="178"/>
      <c r="G6" s="178"/>
      <c r="H6" s="178"/>
      <c r="I6" s="178"/>
      <c r="J6" s="178"/>
      <c r="K6" s="179" t="s">
        <v>186</v>
      </c>
      <c r="L6" s="47" t="s">
        <v>20</v>
      </c>
    </row>
    <row r="7" spans="1:15" ht="14.1" customHeight="1" x14ac:dyDescent="0.2">
      <c r="B7" s="180" t="s">
        <v>116</v>
      </c>
      <c r="C7" s="181"/>
      <c r="D7" s="181"/>
      <c r="E7" s="181"/>
      <c r="F7" s="181"/>
      <c r="G7" s="181"/>
      <c r="H7" s="182"/>
      <c r="I7" s="181"/>
      <c r="J7" s="182"/>
      <c r="K7" s="183">
        <f>Varation!A2</f>
        <v>45078</v>
      </c>
      <c r="L7" s="49">
        <v>36199</v>
      </c>
    </row>
    <row r="8" spans="1:15" s="8" customFormat="1" ht="14.1" customHeight="1" x14ac:dyDescent="0.2">
      <c r="B8" s="180" t="s">
        <v>117</v>
      </c>
      <c r="C8" s="181"/>
      <c r="D8" s="181"/>
      <c r="E8" s="181"/>
      <c r="F8" s="181"/>
      <c r="G8" s="181"/>
      <c r="H8" s="181"/>
      <c r="I8" s="181"/>
      <c r="J8" s="181"/>
      <c r="K8" s="163" t="s">
        <v>118</v>
      </c>
      <c r="L8" s="47" t="s">
        <v>33</v>
      </c>
    </row>
    <row r="9" spans="1:15" s="8" customFormat="1" ht="14.1" customHeight="1" x14ac:dyDescent="0.2">
      <c r="B9" s="180" t="s">
        <v>119</v>
      </c>
      <c r="C9" s="181"/>
      <c r="D9" s="181"/>
      <c r="E9" s="181"/>
      <c r="F9" s="181"/>
      <c r="G9" s="181"/>
      <c r="H9" s="181"/>
      <c r="I9" s="181"/>
      <c r="J9" s="184"/>
      <c r="K9" s="154">
        <f>Varation!B2</f>
        <v>0.6333333333333333</v>
      </c>
      <c r="L9" s="51">
        <v>0.40319444444444441</v>
      </c>
    </row>
    <row r="10" spans="1:15" s="8" customFormat="1" ht="11.95" customHeight="1" x14ac:dyDescent="0.2">
      <c r="B10" s="83" t="s">
        <v>123</v>
      </c>
      <c r="C10" s="44"/>
      <c r="D10" s="44"/>
      <c r="E10" s="44"/>
      <c r="F10" s="44"/>
      <c r="G10" s="44"/>
      <c r="H10" s="44"/>
      <c r="I10" s="44"/>
      <c r="J10" s="185"/>
      <c r="K10" s="167" t="s">
        <v>125</v>
      </c>
      <c r="L10" s="41"/>
    </row>
    <row r="11" spans="1:15" s="8" customFormat="1" ht="14.1" customHeight="1" x14ac:dyDescent="0.2">
      <c r="B11" s="83" t="s">
        <v>124</v>
      </c>
      <c r="C11" s="44"/>
      <c r="D11" s="44"/>
      <c r="E11" s="44"/>
      <c r="F11" s="44"/>
      <c r="G11" s="44"/>
      <c r="H11" s="44"/>
      <c r="I11" s="44"/>
      <c r="J11" s="185"/>
      <c r="K11" s="167" t="s">
        <v>122</v>
      </c>
      <c r="L11" s="41"/>
    </row>
    <row r="12" spans="1:15" s="8" customFormat="1" ht="14.1" customHeight="1" x14ac:dyDescent="0.2">
      <c r="B12" s="135" t="s">
        <v>120</v>
      </c>
      <c r="C12" s="42"/>
      <c r="D12" s="42" t="s">
        <v>177</v>
      </c>
      <c r="E12" s="42"/>
      <c r="F12" s="42"/>
      <c r="G12" s="42"/>
      <c r="H12" s="42"/>
      <c r="I12" s="42"/>
      <c r="J12" s="186"/>
      <c r="K12" s="187"/>
      <c r="L12" s="41"/>
    </row>
    <row r="13" spans="1:15" s="8" customFormat="1" ht="11.95" customHeight="1" x14ac:dyDescent="0.2">
      <c r="I13" s="27"/>
      <c r="K13" s="41"/>
    </row>
    <row r="14" spans="1:15" s="8" customFormat="1" ht="15.05" customHeight="1" x14ac:dyDescent="0.2">
      <c r="B14" s="156" t="s">
        <v>130</v>
      </c>
      <c r="C14" s="156"/>
      <c r="D14" s="156"/>
      <c r="E14" s="156"/>
      <c r="F14" s="156"/>
      <c r="G14" s="156"/>
      <c r="H14" s="157"/>
      <c r="I14" s="158" t="s">
        <v>19</v>
      </c>
      <c r="J14" s="157"/>
      <c r="K14" s="159"/>
    </row>
    <row r="15" spans="1:15" s="8" customFormat="1" ht="14.1" hidden="1" customHeight="1" x14ac:dyDescent="0.2">
      <c r="B15" s="62"/>
      <c r="C15" s="62"/>
      <c r="D15" s="62"/>
      <c r="E15" s="62"/>
      <c r="F15" s="62"/>
      <c r="G15" s="62"/>
      <c r="H15" s="47"/>
      <c r="I15" s="68"/>
      <c r="J15" s="47"/>
      <c r="K15" s="51"/>
    </row>
    <row r="16" spans="1:15" s="8" customFormat="1" ht="14.1" customHeight="1" x14ac:dyDescent="0.2">
      <c r="B16" s="151"/>
      <c r="C16" s="133"/>
      <c r="D16" s="133" t="s">
        <v>72</v>
      </c>
      <c r="E16" s="144" t="s">
        <v>143</v>
      </c>
      <c r="F16" s="23"/>
      <c r="G16" s="3"/>
      <c r="H16" s="152"/>
      <c r="I16" s="155"/>
      <c r="J16" s="163"/>
      <c r="K16" s="154"/>
    </row>
    <row r="17" spans="1:15" s="8" customFormat="1" ht="11.95" customHeight="1" x14ac:dyDescent="0.2">
      <c r="B17" s="151"/>
      <c r="C17" s="133"/>
      <c r="D17" s="133"/>
      <c r="E17" s="151" t="s">
        <v>66</v>
      </c>
      <c r="F17" s="133" t="s">
        <v>61</v>
      </c>
      <c r="G17" s="162" t="s">
        <v>71</v>
      </c>
      <c r="H17" s="152"/>
      <c r="I17" s="153"/>
      <c r="J17" s="163"/>
      <c r="K17" s="154"/>
    </row>
    <row r="18" spans="1:15" s="8" customFormat="1" ht="15.05" customHeight="1" x14ac:dyDescent="0.2">
      <c r="A18" s="8" t="s">
        <v>0</v>
      </c>
      <c r="B18" s="135" t="s">
        <v>131</v>
      </c>
      <c r="C18" s="42"/>
      <c r="D18" s="42"/>
      <c r="E18" s="336">
        <v>348</v>
      </c>
      <c r="F18" s="337">
        <v>22</v>
      </c>
      <c r="G18" s="337">
        <v>13</v>
      </c>
      <c r="H18" s="63">
        <f>ABS(IF(E18&lt;180,E18,IF(E18&gt;=180,E18-180)))</f>
        <v>168</v>
      </c>
      <c r="I18" s="63">
        <f>ABS(IF(G18=0,F18-1,F18))</f>
        <v>22</v>
      </c>
      <c r="J18" s="4">
        <f>ABS(IF(G18=0,60,G18))</f>
        <v>13</v>
      </c>
      <c r="K18" s="43">
        <f>(((J18/60)+I18)/60)+H18</f>
        <v>168.37027777777777</v>
      </c>
    </row>
    <row r="19" spans="1:15" s="8" customFormat="1" ht="10" customHeight="1" x14ac:dyDescent="0.2">
      <c r="B19" s="83"/>
      <c r="C19" s="44"/>
      <c r="D19" s="44"/>
      <c r="E19" s="160"/>
      <c r="F19" s="23"/>
      <c r="G19" s="3"/>
      <c r="H19" s="23"/>
      <c r="I19" s="23"/>
      <c r="J19" s="3"/>
      <c r="K19" s="18"/>
    </row>
    <row r="20" spans="1:15" s="8" customFormat="1" ht="15.05" customHeight="1" x14ac:dyDescent="0.2">
      <c r="B20" s="135" t="s">
        <v>132</v>
      </c>
      <c r="C20" s="42"/>
      <c r="D20" s="42"/>
      <c r="E20" s="336">
        <v>168</v>
      </c>
      <c r="F20" s="337">
        <v>13</v>
      </c>
      <c r="G20" s="337">
        <v>0</v>
      </c>
      <c r="H20" s="63">
        <f>ABS(IF(E20&lt;180,E20,IF(E20&gt;=180,E20-180)))</f>
        <v>168</v>
      </c>
      <c r="I20" s="63">
        <f>ABS(IF(E20-180,F20-0))</f>
        <v>13</v>
      </c>
      <c r="J20" s="4">
        <f>ABS(IF(E20-180,G20-0))</f>
        <v>0</v>
      </c>
      <c r="K20" s="43">
        <f>(((J20/60)+I20)/60)+H20</f>
        <v>168.21666666666667</v>
      </c>
      <c r="L20" s="23"/>
      <c r="M20" s="23"/>
      <c r="N20" s="26"/>
      <c r="O20" s="26"/>
    </row>
    <row r="21" spans="1:15" s="8" customFormat="1" ht="15.05" customHeight="1" x14ac:dyDescent="0.2">
      <c r="B21" s="44"/>
      <c r="C21" s="44"/>
      <c r="D21" s="44"/>
      <c r="E21" s="54"/>
      <c r="F21" s="44"/>
      <c r="G21" s="44"/>
      <c r="H21" s="44"/>
      <c r="I21" s="44"/>
      <c r="J21" s="44"/>
      <c r="K21" s="26"/>
      <c r="L21" s="23"/>
      <c r="M21" s="23"/>
      <c r="N21" s="26"/>
      <c r="O21" s="26"/>
    </row>
    <row r="22" spans="1:15" s="8" customFormat="1" ht="12.95" customHeight="1" x14ac:dyDescent="0.2">
      <c r="B22" s="133" t="s">
        <v>126</v>
      </c>
      <c r="C22" s="133"/>
      <c r="D22" s="133"/>
      <c r="E22" s="150"/>
      <c r="F22" s="133"/>
      <c r="G22" s="133"/>
      <c r="H22" s="44"/>
      <c r="I22" s="44"/>
      <c r="J22" s="44"/>
      <c r="K22" s="26"/>
      <c r="L22" s="23"/>
      <c r="M22" s="23"/>
      <c r="N22" s="26"/>
      <c r="O22" s="26"/>
    </row>
    <row r="23" spans="1:15" s="8" customFormat="1" ht="12.95" customHeight="1" x14ac:dyDescent="0.2">
      <c r="B23" s="156" t="s">
        <v>133</v>
      </c>
      <c r="C23" s="156"/>
      <c r="D23" s="156"/>
      <c r="E23" s="164"/>
      <c r="F23" s="156"/>
      <c r="G23" s="156"/>
      <c r="H23" s="42"/>
      <c r="I23" s="42"/>
      <c r="J23" s="42"/>
      <c r="K23" s="165"/>
      <c r="L23" s="23"/>
      <c r="M23" s="23"/>
      <c r="N23" s="26"/>
      <c r="O23" s="26"/>
    </row>
    <row r="24" spans="1:15" s="8" customFormat="1" ht="11.95" customHeight="1" x14ac:dyDescent="0.2">
      <c r="B24" s="151"/>
      <c r="C24" s="133"/>
      <c r="D24" s="162"/>
      <c r="E24" s="44"/>
      <c r="F24" s="44"/>
      <c r="G24" s="167"/>
      <c r="H24" s="44" t="s">
        <v>66</v>
      </c>
      <c r="I24" s="44" t="s">
        <v>60</v>
      </c>
      <c r="J24" s="167" t="s">
        <v>65</v>
      </c>
      <c r="K24" s="18"/>
      <c r="L24" s="23"/>
      <c r="M24" s="23"/>
      <c r="N24" s="26"/>
      <c r="O24" s="26"/>
    </row>
    <row r="25" spans="1:15" s="8" customFormat="1" ht="15.05" customHeight="1" x14ac:dyDescent="0.25">
      <c r="B25" s="141"/>
      <c r="C25" s="63"/>
      <c r="D25" s="4" t="s">
        <v>68</v>
      </c>
      <c r="E25" s="63"/>
      <c r="F25" s="63"/>
      <c r="G25" s="4"/>
      <c r="H25" s="63">
        <f>AVERAGE(H18,H20)</f>
        <v>168</v>
      </c>
      <c r="I25" s="170">
        <f>AVERAGE(I18,I20)</f>
        <v>17.5</v>
      </c>
      <c r="J25" s="4">
        <f>AVERAGE(J18,J20)</f>
        <v>6.5</v>
      </c>
      <c r="K25" s="43">
        <f>AVERAGE(K18,K20)</f>
        <v>168.29347222222222</v>
      </c>
    </row>
    <row r="26" spans="1:15" s="8" customFormat="1" ht="15.05" customHeight="1" x14ac:dyDescent="0.2">
      <c r="B26" s="44"/>
      <c r="C26" s="44"/>
      <c r="D26" s="54"/>
      <c r="E26" s="54"/>
      <c r="F26" s="54"/>
      <c r="G26" s="54"/>
      <c r="H26" s="44"/>
      <c r="I26" s="132"/>
      <c r="J26" s="44"/>
      <c r="K26" s="26"/>
    </row>
    <row r="27" spans="1:15" s="8" customFormat="1" ht="11.95" customHeight="1" x14ac:dyDescent="0.2">
      <c r="B27" s="136"/>
      <c r="C27" s="134"/>
      <c r="D27" s="166"/>
      <c r="E27" s="137" t="s">
        <v>18</v>
      </c>
      <c r="F27" s="137" t="s">
        <v>61</v>
      </c>
      <c r="G27" s="169" t="s">
        <v>67</v>
      </c>
      <c r="H27" s="137"/>
      <c r="I27" s="137"/>
      <c r="J27" s="169"/>
      <c r="K27" s="138"/>
      <c r="M27" s="28"/>
    </row>
    <row r="28" spans="1:15" s="8" customFormat="1" ht="15.05" customHeight="1" x14ac:dyDescent="0.25">
      <c r="B28" s="139" t="s">
        <v>47</v>
      </c>
      <c r="C28" s="140"/>
      <c r="D28" s="168"/>
      <c r="E28" s="63">
        <v>64</v>
      </c>
      <c r="F28" s="63">
        <v>58</v>
      </c>
      <c r="G28" s="4">
        <v>8</v>
      </c>
      <c r="H28" s="16">
        <f>E28</f>
        <v>64</v>
      </c>
      <c r="I28" s="16">
        <f>F28</f>
        <v>58</v>
      </c>
      <c r="J28" s="17">
        <f>G28</f>
        <v>8</v>
      </c>
      <c r="K28" s="43">
        <f>(((J28/60)+I28)/60)+H28</f>
        <v>64.968888888888884</v>
      </c>
    </row>
    <row r="29" spans="1:15" s="8" customFormat="1" ht="10.5" hidden="1" x14ac:dyDescent="0.2"/>
    <row r="30" spans="1:15" s="8" customFormat="1" ht="10.5" x14ac:dyDescent="0.2"/>
    <row r="31" spans="1:15" s="8" customFormat="1" ht="10.5" hidden="1" x14ac:dyDescent="0.2"/>
    <row r="32" spans="1:15" s="8" customFormat="1" ht="10.5" x14ac:dyDescent="0.2">
      <c r="E32" s="42"/>
      <c r="F32" s="42"/>
      <c r="G32" s="42"/>
      <c r="H32" s="42"/>
      <c r="I32" s="42"/>
      <c r="N32" s="42"/>
    </row>
    <row r="33" spans="1:19" x14ac:dyDescent="0.2">
      <c r="A33" s="5"/>
      <c r="B33" s="5" t="s">
        <v>1</v>
      </c>
      <c r="C33" s="5" t="s">
        <v>2</v>
      </c>
      <c r="D33" s="143" t="s">
        <v>4</v>
      </c>
      <c r="E33" s="441" t="s">
        <v>139</v>
      </c>
      <c r="F33" s="461"/>
      <c r="G33" s="462"/>
      <c r="H33" s="64"/>
      <c r="I33" s="64"/>
      <c r="J33" s="65"/>
      <c r="K33" s="2"/>
      <c r="L33" s="5"/>
      <c r="M33" s="143"/>
      <c r="N33" s="23" t="s">
        <v>5</v>
      </c>
      <c r="O33" s="2"/>
      <c r="P33" s="2" t="s">
        <v>8</v>
      </c>
      <c r="Q33" s="5" t="s">
        <v>10</v>
      </c>
      <c r="R33" s="2" t="s">
        <v>11</v>
      </c>
      <c r="S33" s="21"/>
    </row>
    <row r="34" spans="1:19" x14ac:dyDescent="0.2">
      <c r="A34" s="6"/>
      <c r="B34" s="6"/>
      <c r="C34" s="6" t="s">
        <v>3</v>
      </c>
      <c r="D34" s="144"/>
      <c r="E34" s="463"/>
      <c r="F34" s="450"/>
      <c r="G34" s="464"/>
      <c r="H34" s="14"/>
      <c r="I34" s="14"/>
      <c r="J34" s="15"/>
      <c r="K34" s="6" t="s">
        <v>9</v>
      </c>
      <c r="M34" s="144"/>
      <c r="N34" s="23" t="s">
        <v>82</v>
      </c>
      <c r="O34" s="3"/>
      <c r="P34" s="3" t="s">
        <v>9</v>
      </c>
      <c r="Q34" s="6" t="s">
        <v>62</v>
      </c>
      <c r="R34" s="3" t="s">
        <v>63</v>
      </c>
      <c r="S34" s="61"/>
    </row>
    <row r="35" spans="1:19" x14ac:dyDescent="0.2">
      <c r="A35" s="7"/>
      <c r="B35" s="7"/>
      <c r="C35" s="7" t="s">
        <v>58</v>
      </c>
      <c r="D35" s="145" t="s">
        <v>64</v>
      </c>
      <c r="E35" s="145" t="s">
        <v>18</v>
      </c>
      <c r="F35" s="149" t="s">
        <v>70</v>
      </c>
      <c r="G35" s="12" t="s">
        <v>21</v>
      </c>
      <c r="H35" s="16"/>
      <c r="I35" s="81"/>
      <c r="J35" s="17"/>
      <c r="K35" s="11" t="s">
        <v>13</v>
      </c>
      <c r="L35" s="66"/>
      <c r="M35" s="145"/>
      <c r="N35" s="142" t="s">
        <v>14</v>
      </c>
      <c r="O35" s="12"/>
      <c r="P35" s="12" t="s">
        <v>78</v>
      </c>
      <c r="Q35" s="11" t="s">
        <v>15</v>
      </c>
      <c r="R35" s="12" t="s">
        <v>16</v>
      </c>
      <c r="S35" s="21"/>
    </row>
    <row r="36" spans="1:19" ht="13.1" x14ac:dyDescent="0.25">
      <c r="A36" s="6"/>
      <c r="B36" s="6" t="s">
        <v>101</v>
      </c>
      <c r="C36" s="6">
        <v>1</v>
      </c>
      <c r="D36" s="71">
        <f>Varation!B2</f>
        <v>0.6333333333333333</v>
      </c>
      <c r="E36" s="338">
        <v>327</v>
      </c>
      <c r="F36" s="338">
        <v>25</v>
      </c>
      <c r="G36" s="338">
        <v>17</v>
      </c>
      <c r="H36" s="14">
        <f>IF(AND(E36&lt;179,H25&lt;90),E36,IF(AND(E36&gt;=180,H25&lt;90),E36-180,IF(AND(E36&lt;90,H25&gt;=90),E36+180,IF(AND(E36&gt;=90,E36&lt;270,H25&gt;=90),E36,IF(AND(E36&gt;=270,H25&gt;=90),E36-180,E36)))))</f>
        <v>147</v>
      </c>
      <c r="I36" s="14">
        <f>ABS(IF(E36&lt;360,F36))</f>
        <v>25</v>
      </c>
      <c r="J36" s="15">
        <f>ABS(IF(E36&lt;360,G36))</f>
        <v>17</v>
      </c>
      <c r="K36" s="18">
        <f>(((J36/60)+I36)/60)+H36</f>
        <v>147.42138888888888</v>
      </c>
      <c r="L36" s="19"/>
      <c r="M36" s="144"/>
      <c r="N36" s="255">
        <f>Varation!D2</f>
        <v>0</v>
      </c>
      <c r="O36" s="204"/>
      <c r="P36" s="198">
        <f>N36/('F-AbsVal-BaseVal'!G26*'F-AbsVal-BaseVal'!D26*Inclination!P26)</f>
        <v>0</v>
      </c>
      <c r="Q36" s="19">
        <f>P36-P36</f>
        <v>0</v>
      </c>
      <c r="R36" s="18">
        <f>K36-Q36</f>
        <v>147.42138888888888</v>
      </c>
      <c r="S36" s="61"/>
    </row>
    <row r="37" spans="1:19" x14ac:dyDescent="0.2">
      <c r="A37" s="6"/>
      <c r="B37" s="6"/>
      <c r="C37" s="6"/>
      <c r="D37" s="71"/>
      <c r="E37" s="171"/>
      <c r="F37" s="175"/>
      <c r="G37" s="173"/>
      <c r="H37" s="14"/>
      <c r="I37" s="14"/>
      <c r="J37" s="15"/>
      <c r="K37" s="18"/>
      <c r="L37" s="19"/>
      <c r="M37" s="144"/>
      <c r="N37" s="255"/>
      <c r="O37" s="204"/>
      <c r="P37" s="199"/>
      <c r="Q37" s="6"/>
      <c r="R37" s="3"/>
      <c r="S37" s="61"/>
    </row>
    <row r="38" spans="1:19" ht="13.1" x14ac:dyDescent="0.25">
      <c r="A38" s="6"/>
      <c r="B38" s="6" t="s">
        <v>102</v>
      </c>
      <c r="C38" s="6">
        <v>2</v>
      </c>
      <c r="D38" s="71">
        <f>Varation!B4</f>
        <v>0.64479166666666665</v>
      </c>
      <c r="E38" s="338">
        <v>147</v>
      </c>
      <c r="F38" s="338">
        <v>26</v>
      </c>
      <c r="G38" s="338">
        <v>34</v>
      </c>
      <c r="H38" s="14">
        <f>IF(AND(E38&lt;179,H29&lt;90),E38,IF(AND(E38&gt;=180,H29&lt;90),E38-180,IF(AND(E38&lt;90,H29&gt;=90),E38+180,IF(AND(E38&gt;=90,E38&lt;270,H29&gt;=90),E38,IF(AND(E38&gt;=270,H29&gt;=90),E38-180,E38)))))</f>
        <v>147</v>
      </c>
      <c r="I38" s="14">
        <f>ABS(IF(E38&lt;360,F38))</f>
        <v>26</v>
      </c>
      <c r="J38" s="15">
        <f>ABS(IF(E38&lt;360,G38))</f>
        <v>34</v>
      </c>
      <c r="K38" s="18">
        <f>(((J38/60)+I38)/60)+H38</f>
        <v>147.44277777777779</v>
      </c>
      <c r="L38" s="19"/>
      <c r="M38" s="144"/>
      <c r="N38" s="255">
        <f>Varation!D4</f>
        <v>0</v>
      </c>
      <c r="O38" s="204"/>
      <c r="P38" s="198">
        <f>N38/('F-AbsVal-BaseVal'!G26*'F-AbsVal-BaseVal'!D26*Inclination!P26)</f>
        <v>0</v>
      </c>
      <c r="Q38" s="19">
        <f>P38-P36</f>
        <v>0</v>
      </c>
      <c r="R38" s="18">
        <f>K38-Q38</f>
        <v>147.44277777777779</v>
      </c>
      <c r="S38" s="61"/>
    </row>
    <row r="39" spans="1:19" x14ac:dyDescent="0.2">
      <c r="A39" s="247" t="s">
        <v>12</v>
      </c>
      <c r="B39" s="21"/>
      <c r="C39" s="6"/>
      <c r="D39" s="71"/>
      <c r="E39" s="171"/>
      <c r="F39" s="175"/>
      <c r="G39" s="173"/>
      <c r="H39" s="14"/>
      <c r="I39" s="14"/>
      <c r="J39" s="15"/>
      <c r="K39" s="20"/>
      <c r="L39" s="19"/>
      <c r="M39" s="144"/>
      <c r="N39" s="255"/>
      <c r="O39" s="204"/>
      <c r="P39" s="199"/>
      <c r="Q39" s="6"/>
      <c r="R39" s="3"/>
      <c r="S39" s="61"/>
    </row>
    <row r="40" spans="1:19" ht="13.1" x14ac:dyDescent="0.25">
      <c r="A40" s="6"/>
      <c r="B40" s="6" t="s">
        <v>103</v>
      </c>
      <c r="C40" s="6">
        <v>3</v>
      </c>
      <c r="D40" s="71">
        <f>Varation!B6</f>
        <v>0.65798611111111105</v>
      </c>
      <c r="E40" s="338">
        <v>147</v>
      </c>
      <c r="F40" s="338">
        <v>26</v>
      </c>
      <c r="G40" s="338">
        <v>51</v>
      </c>
      <c r="H40" s="14">
        <f>IF(AND(E40&lt;179,H33&lt;90),E40,IF(AND(E40&gt;=180,H33&lt;90),E40-180,IF(AND(E40&lt;90,H33&gt;=90),E40+180,IF(AND(E40&gt;=90,E40&lt;270,H33&gt;=90),E40,IF(AND(E40&gt;=270,H33&gt;=90),E40-180,E40)))))</f>
        <v>147</v>
      </c>
      <c r="I40" s="14">
        <f>ABS(IF(E40&lt;360,F40))</f>
        <v>26</v>
      </c>
      <c r="J40" s="15">
        <f>ABS(IF(E40&lt;360,G40))</f>
        <v>51</v>
      </c>
      <c r="K40" s="18">
        <f>(((J40/60)+I40)/60)+H40</f>
        <v>147.44749999999999</v>
      </c>
      <c r="L40" s="19"/>
      <c r="M40" s="144"/>
      <c r="N40" s="255">
        <f>Varation!D6</f>
        <v>0</v>
      </c>
      <c r="O40" s="204"/>
      <c r="P40" s="198">
        <f>N40/('F-AbsVal-BaseVal'!G26*'F-AbsVal-BaseVal'!D26*Inclination!P26)</f>
        <v>0</v>
      </c>
      <c r="Q40" s="19">
        <f>P40-P36</f>
        <v>0</v>
      </c>
      <c r="R40" s="18">
        <f>K40-Q40</f>
        <v>147.44749999999999</v>
      </c>
      <c r="S40" s="61"/>
    </row>
    <row r="41" spans="1:19" s="10" customFormat="1" x14ac:dyDescent="0.2">
      <c r="A41" s="9"/>
      <c r="B41" s="13"/>
      <c r="C41" s="22"/>
      <c r="D41" s="71"/>
      <c r="E41" s="171"/>
      <c r="F41" s="175"/>
      <c r="G41" s="173"/>
      <c r="H41" s="14"/>
      <c r="I41" s="14"/>
      <c r="J41" s="15"/>
      <c r="K41" s="18"/>
      <c r="L41" s="19"/>
      <c r="M41" s="202"/>
      <c r="N41" s="255"/>
      <c r="O41" s="204"/>
      <c r="P41" s="199"/>
      <c r="Q41" s="19"/>
      <c r="R41" s="18"/>
      <c r="S41" s="67"/>
    </row>
    <row r="42" spans="1:19" ht="13.1" x14ac:dyDescent="0.25">
      <c r="A42" s="7"/>
      <c r="B42" s="7" t="s">
        <v>104</v>
      </c>
      <c r="C42" s="7">
        <v>4</v>
      </c>
      <c r="D42" s="218">
        <f>Varation!B8</f>
        <v>0.66342592592592597</v>
      </c>
      <c r="E42" s="338">
        <v>327</v>
      </c>
      <c r="F42" s="338">
        <v>26</v>
      </c>
      <c r="G42" s="338">
        <v>46</v>
      </c>
      <c r="H42" s="16">
        <f>IF(AND(E42&lt;179,H31&lt;90),E42,IF(AND(E42&gt;=180,H31&lt;90),E42-180,IF(AND(E42&lt;90,H31&gt;=90),E42+180,IF(AND(E42&gt;=90,E42&lt;270,H31&gt;=90),E42,IF(AND(E42&gt;=270,H31&gt;=90),E42-180,E42)))))</f>
        <v>147</v>
      </c>
      <c r="I42" s="16">
        <f>ABS(IF(E42&lt;360,F42))</f>
        <v>26</v>
      </c>
      <c r="J42" s="17">
        <f>ABS(IF(E42&lt;360,G42))</f>
        <v>46</v>
      </c>
      <c r="K42" s="43">
        <f>(((J42/60)+I42)/60)+H42</f>
        <v>147.44611111111112</v>
      </c>
      <c r="L42" s="24"/>
      <c r="M42" s="141"/>
      <c r="N42" s="256">
        <f>Varation!D8</f>
        <v>0</v>
      </c>
      <c r="O42" s="205"/>
      <c r="P42" s="246">
        <f>N42/('F-AbsVal-BaseVal'!G26*'F-AbsVal-BaseVal'!D26*Inclination!P26)</f>
        <v>0</v>
      </c>
      <c r="Q42" s="24">
        <f>P42-P36</f>
        <v>0</v>
      </c>
      <c r="R42" s="43">
        <f>K42-Q42</f>
        <v>147.44611111111112</v>
      </c>
      <c r="S42" s="61"/>
    </row>
    <row r="43" spans="1:19" ht="15.75" customHeight="1" x14ac:dyDescent="0.2">
      <c r="A43" s="53"/>
      <c r="B43" s="114" t="s">
        <v>168</v>
      </c>
      <c r="C43" s="95"/>
      <c r="D43" s="96"/>
      <c r="E43" s="96"/>
      <c r="F43" s="96"/>
      <c r="G43" s="96"/>
      <c r="H43" s="95"/>
      <c r="I43" s="95"/>
      <c r="J43" s="97" t="s">
        <v>73</v>
      </c>
      <c r="K43" s="98">
        <f>AVERAGE(K42,K40,K38,K36)</f>
        <v>147.43944444444446</v>
      </c>
      <c r="L43" s="99"/>
      <c r="M43" s="100"/>
      <c r="N43" s="99"/>
      <c r="O43" s="99" t="s">
        <v>75</v>
      </c>
      <c r="P43" s="100">
        <f>SIN(RADIANS(K49))</f>
        <v>-0.71794577100515322</v>
      </c>
      <c r="Q43" s="101" t="s">
        <v>22</v>
      </c>
      <c r="R43" s="245">
        <f>AVERAGE(R36,R38,R40,R42)</f>
        <v>147.43944444444446</v>
      </c>
      <c r="S43" s="21"/>
    </row>
    <row r="44" spans="1:19" ht="15.75" customHeight="1" x14ac:dyDescent="0.2">
      <c r="A44" s="29"/>
      <c r="B44" s="264"/>
      <c r="C44" s="103"/>
      <c r="D44" s="104"/>
      <c r="E44" s="104"/>
      <c r="F44" s="104"/>
      <c r="G44" s="104"/>
      <c r="H44" s="103"/>
      <c r="I44" s="103"/>
      <c r="J44" s="105"/>
      <c r="K44" s="106"/>
      <c r="L44" s="107"/>
      <c r="M44" s="108"/>
      <c r="N44" s="107"/>
      <c r="O44" s="107" t="s">
        <v>76</v>
      </c>
      <c r="P44" s="108">
        <f>COS(RADIANS(K49))</f>
        <v>0.69609903741911339</v>
      </c>
      <c r="Q44" s="109"/>
      <c r="R44" s="110"/>
      <c r="S44" s="21"/>
    </row>
    <row r="45" spans="1:19" ht="15.75" hidden="1" customHeight="1" x14ac:dyDescent="0.2">
      <c r="A45" s="14"/>
      <c r="B45" s="14"/>
      <c r="C45" s="14"/>
      <c r="D45" s="25"/>
      <c r="E45" s="25"/>
      <c r="F45" s="25"/>
      <c r="G45" s="25"/>
      <c r="H45" s="14"/>
      <c r="I45" s="14"/>
      <c r="J45" s="56"/>
      <c r="K45" s="26"/>
      <c r="L45" s="57"/>
      <c r="M45" s="58"/>
      <c r="N45" s="57"/>
      <c r="O45" s="57"/>
      <c r="P45" s="58"/>
      <c r="Q45" s="54"/>
      <c r="R45" s="26"/>
    </row>
    <row r="46" spans="1:19" x14ac:dyDescent="0.2">
      <c r="A46" s="14"/>
      <c r="B46" s="14"/>
      <c r="C46" s="14"/>
      <c r="D46" s="25"/>
      <c r="E46" s="25"/>
      <c r="F46" s="25"/>
      <c r="G46" s="25"/>
      <c r="H46" s="14"/>
      <c r="I46" s="14"/>
      <c r="J46" s="14"/>
      <c r="K46" s="26"/>
      <c r="L46" s="26"/>
      <c r="M46" s="16"/>
      <c r="N46" s="14"/>
      <c r="O46" s="14"/>
      <c r="P46" s="25"/>
      <c r="Q46" s="25"/>
      <c r="R46" s="25"/>
    </row>
    <row r="47" spans="1:19" ht="15.75" customHeight="1" x14ac:dyDescent="0.2">
      <c r="A47" s="8"/>
      <c r="B47" s="8"/>
      <c r="C47" s="192"/>
      <c r="D47" s="192"/>
      <c r="E47" s="192"/>
      <c r="F47" s="191" t="s">
        <v>50</v>
      </c>
      <c r="G47" s="92"/>
      <c r="H47" s="89"/>
      <c r="I47" s="89"/>
      <c r="J47" s="90"/>
      <c r="K47" s="90">
        <f>R43+K28-K25-90</f>
        <v>-45.885138888888861</v>
      </c>
      <c r="L47" s="89"/>
      <c r="M47" s="93" t="s">
        <v>18</v>
      </c>
      <c r="N47" s="192"/>
      <c r="O47" s="192"/>
      <c r="P47" s="192"/>
      <c r="Q47" s="97" t="s">
        <v>180</v>
      </c>
      <c r="R47" s="327">
        <f>((R36+R38-R40-R42)/4)*60</f>
        <v>-0.44166666666654919</v>
      </c>
    </row>
    <row r="48" spans="1:19" ht="13.1" x14ac:dyDescent="0.25">
      <c r="A48" s="8"/>
      <c r="B48" s="8"/>
      <c r="C48" s="85"/>
      <c r="D48" s="85"/>
      <c r="E48" s="85"/>
      <c r="F48" s="85"/>
      <c r="G48" s="85"/>
      <c r="H48" s="94"/>
      <c r="I48" s="94"/>
      <c r="J48" s="85"/>
      <c r="K48" s="85"/>
      <c r="L48" s="85"/>
      <c r="M48" s="89"/>
      <c r="N48" s="85"/>
      <c r="O48" s="85"/>
      <c r="P48" s="85"/>
      <c r="Q48" s="349" t="s">
        <v>181</v>
      </c>
      <c r="R48" s="327">
        <f>(((R36-R38-R40+R42)/4)/TAN(RADIANS(Inclination!S25)))*60</f>
        <v>-0.18601580746285465</v>
      </c>
    </row>
    <row r="49" spans="1:18" ht="15.75" customHeight="1" x14ac:dyDescent="0.2">
      <c r="A49" s="8"/>
      <c r="B49" s="69"/>
      <c r="C49" s="94"/>
      <c r="D49" s="94"/>
      <c r="E49" s="94"/>
      <c r="F49" s="194" t="s">
        <v>74</v>
      </c>
      <c r="G49" s="89"/>
      <c r="H49" s="89"/>
      <c r="I49" s="89"/>
      <c r="J49" s="89"/>
      <c r="K49" s="90">
        <f>K43+K28-K25-90</f>
        <v>-45.885138888888861</v>
      </c>
      <c r="L49" s="89"/>
      <c r="M49" s="121" t="s">
        <v>18</v>
      </c>
      <c r="N49" s="192"/>
      <c r="O49" s="192"/>
      <c r="P49" s="192"/>
      <c r="Q49" s="98"/>
      <c r="R49" s="328"/>
    </row>
    <row r="50" spans="1:18" x14ac:dyDescent="0.2">
      <c r="A50" s="8"/>
      <c r="B50" s="8"/>
      <c r="C50" s="94"/>
      <c r="D50" s="94"/>
      <c r="E50" s="94"/>
      <c r="F50" s="85"/>
      <c r="G50" s="85"/>
      <c r="H50" s="94"/>
      <c r="I50" s="94"/>
      <c r="J50" s="85"/>
      <c r="K50" s="85"/>
      <c r="L50" s="85"/>
      <c r="M50" s="85"/>
      <c r="N50" s="94"/>
      <c r="O50" s="94"/>
      <c r="P50" s="94"/>
      <c r="Q50" s="94"/>
      <c r="R50" s="94"/>
    </row>
    <row r="51" spans="1:18" x14ac:dyDescent="0.2">
      <c r="A51" s="8"/>
      <c r="B51" s="8"/>
      <c r="C51" s="94"/>
      <c r="D51" s="94"/>
      <c r="E51" s="94"/>
      <c r="F51" s="194" t="s">
        <v>92</v>
      </c>
      <c r="G51" s="89"/>
      <c r="H51" s="89"/>
      <c r="I51" s="89"/>
      <c r="J51" s="89"/>
      <c r="K51" s="89"/>
      <c r="L51" s="89"/>
      <c r="M51" s="93"/>
      <c r="N51" s="215"/>
      <c r="O51" s="94"/>
      <c r="P51" s="94"/>
      <c r="Q51" s="94"/>
      <c r="R51" s="94"/>
    </row>
    <row r="52" spans="1:18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O52" s="8"/>
      <c r="P52" s="8"/>
      <c r="Q52" s="8"/>
      <c r="R52" s="8"/>
    </row>
    <row r="58" spans="1:18" ht="13.1" x14ac:dyDescent="0.25">
      <c r="A58" s="52" t="s">
        <v>185</v>
      </c>
      <c r="I58" s="45"/>
      <c r="J58" s="45"/>
      <c r="K58" s="45"/>
      <c r="L58" s="45"/>
      <c r="M58" s="45"/>
      <c r="N58" s="77"/>
      <c r="O58" s="1"/>
    </row>
    <row r="59" spans="1:18" ht="13.1" x14ac:dyDescent="0.25">
      <c r="A59" s="52" t="s">
        <v>158</v>
      </c>
      <c r="I59" s="45"/>
      <c r="J59" s="45"/>
      <c r="K59" s="45"/>
      <c r="L59" s="45"/>
      <c r="M59" s="45"/>
      <c r="N59" s="77"/>
      <c r="O59" s="1"/>
    </row>
    <row r="60" spans="1:18" ht="13.1" x14ac:dyDescent="0.25">
      <c r="A60" s="52" t="s">
        <v>145</v>
      </c>
      <c r="B60" s="52"/>
      <c r="C60" s="52"/>
      <c r="D60" s="52"/>
      <c r="E60" s="52"/>
      <c r="F60" s="52"/>
      <c r="G60" s="52"/>
      <c r="H60" s="52"/>
      <c r="I60" s="45"/>
      <c r="J60" s="45"/>
      <c r="K60" s="45"/>
      <c r="L60" s="45"/>
      <c r="M60" s="45"/>
      <c r="N60" s="77"/>
      <c r="O60" s="1"/>
    </row>
    <row r="61" spans="1:18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77"/>
      <c r="O61" s="1"/>
    </row>
    <row r="63" spans="1:18" x14ac:dyDescent="0.2">
      <c r="B63" s="177" t="s">
        <v>115</v>
      </c>
      <c r="C63" s="178"/>
      <c r="D63" s="178"/>
      <c r="E63" s="178"/>
      <c r="F63" s="178"/>
      <c r="G63" s="178"/>
      <c r="H63" s="178"/>
      <c r="I63" s="178"/>
      <c r="J63" s="178"/>
      <c r="K63" s="179" t="s">
        <v>186</v>
      </c>
      <c r="L63" s="47" t="s">
        <v>20</v>
      </c>
    </row>
    <row r="64" spans="1:18" x14ac:dyDescent="0.2">
      <c r="B64" s="180" t="s">
        <v>116</v>
      </c>
      <c r="C64" s="181"/>
      <c r="D64" s="181"/>
      <c r="E64" s="181"/>
      <c r="F64" s="181"/>
      <c r="G64" s="181"/>
      <c r="H64" s="182"/>
      <c r="I64" s="181"/>
      <c r="J64" s="182"/>
      <c r="K64" s="183">
        <f>K7</f>
        <v>45078</v>
      </c>
      <c r="L64" s="49">
        <v>36199</v>
      </c>
    </row>
    <row r="65" spans="1:19" x14ac:dyDescent="0.2">
      <c r="A65" s="8"/>
      <c r="B65" s="180" t="s">
        <v>117</v>
      </c>
      <c r="C65" s="181"/>
      <c r="D65" s="181"/>
      <c r="E65" s="181"/>
      <c r="F65" s="181"/>
      <c r="G65" s="181"/>
      <c r="H65" s="181"/>
      <c r="I65" s="181"/>
      <c r="J65" s="181"/>
      <c r="K65" s="163" t="s">
        <v>118</v>
      </c>
      <c r="L65" s="47" t="s">
        <v>33</v>
      </c>
      <c r="M65" s="8"/>
      <c r="O65" s="8"/>
      <c r="P65" s="8"/>
      <c r="Q65" s="8"/>
      <c r="R65" s="8"/>
      <c r="S65" s="8"/>
    </row>
    <row r="66" spans="1:19" x14ac:dyDescent="0.2">
      <c r="A66" s="8"/>
      <c r="B66" s="180" t="s">
        <v>119</v>
      </c>
      <c r="C66" s="181"/>
      <c r="D66" s="181"/>
      <c r="E66" s="181"/>
      <c r="F66" s="181"/>
      <c r="G66" s="181"/>
      <c r="H66" s="181"/>
      <c r="I66" s="181"/>
      <c r="J66" s="184"/>
      <c r="K66" s="154">
        <f>K9</f>
        <v>0.6333333333333333</v>
      </c>
      <c r="L66" s="51">
        <v>0.40319444444444441</v>
      </c>
      <c r="M66" s="8"/>
      <c r="O66" s="8"/>
      <c r="P66" s="8"/>
      <c r="Q66" s="8"/>
      <c r="R66" s="8"/>
      <c r="S66" s="8"/>
    </row>
    <row r="67" spans="1:19" x14ac:dyDescent="0.2">
      <c r="A67" s="8"/>
      <c r="B67" s="83" t="s">
        <v>123</v>
      </c>
      <c r="C67" s="44"/>
      <c r="D67" s="44"/>
      <c r="E67" s="44"/>
      <c r="F67" s="44"/>
      <c r="G67" s="44"/>
      <c r="H67" s="44"/>
      <c r="I67" s="44"/>
      <c r="J67" s="185"/>
      <c r="K67" s="167" t="s">
        <v>125</v>
      </c>
      <c r="L67" s="41"/>
      <c r="M67" s="8"/>
      <c r="O67" s="8"/>
      <c r="P67" s="8"/>
      <c r="Q67" s="8"/>
      <c r="R67" s="8"/>
      <c r="S67" s="8"/>
    </row>
    <row r="68" spans="1:19" x14ac:dyDescent="0.2">
      <c r="A68" s="8"/>
      <c r="B68" s="83" t="s">
        <v>124</v>
      </c>
      <c r="C68" s="44"/>
      <c r="D68" s="44"/>
      <c r="E68" s="44"/>
      <c r="F68" s="44"/>
      <c r="G68" s="44"/>
      <c r="H68" s="44"/>
      <c r="I68" s="44"/>
      <c r="J68" s="185"/>
      <c r="K68" s="394" t="s">
        <v>140</v>
      </c>
      <c r="L68" s="41"/>
      <c r="M68" s="8"/>
      <c r="O68" s="8"/>
      <c r="P68" s="8"/>
      <c r="Q68" s="8"/>
      <c r="R68" s="8"/>
      <c r="S68" s="8"/>
    </row>
    <row r="69" spans="1:19" x14ac:dyDescent="0.2">
      <c r="A69" s="8"/>
      <c r="B69" s="135" t="s">
        <v>120</v>
      </c>
      <c r="C69" s="42"/>
      <c r="D69" s="42" t="s">
        <v>177</v>
      </c>
      <c r="E69" s="42"/>
      <c r="F69" s="42"/>
      <c r="G69" s="42"/>
      <c r="H69" s="42"/>
      <c r="I69" s="42"/>
      <c r="J69" s="186"/>
      <c r="K69" s="187"/>
      <c r="L69" s="41"/>
      <c r="M69" s="8"/>
      <c r="O69" s="8"/>
      <c r="P69" s="8"/>
      <c r="Q69" s="8"/>
      <c r="R69" s="8"/>
      <c r="S69" s="8"/>
    </row>
    <row r="70" spans="1:19" x14ac:dyDescent="0.2">
      <c r="A70" s="8"/>
      <c r="B70" s="8"/>
      <c r="C70" s="8"/>
      <c r="D70" s="8"/>
      <c r="E70" s="8"/>
      <c r="F70" s="8"/>
      <c r="G70" s="8"/>
      <c r="H70" s="8"/>
      <c r="I70" s="27"/>
      <c r="J70" s="8"/>
      <c r="K70" s="41"/>
      <c r="L70" s="8"/>
      <c r="M70" s="8"/>
      <c r="O70" s="8"/>
      <c r="P70" s="8"/>
      <c r="Q70" s="8"/>
      <c r="R70" s="8"/>
      <c r="S70" s="8"/>
    </row>
    <row r="71" spans="1:19" x14ac:dyDescent="0.2">
      <c r="A71" s="8"/>
      <c r="B71" s="156" t="s">
        <v>130</v>
      </c>
      <c r="C71" s="156"/>
      <c r="D71" s="156"/>
      <c r="E71" s="156"/>
      <c r="F71" s="156"/>
      <c r="G71" s="156"/>
      <c r="H71" s="157"/>
      <c r="I71" s="158" t="s">
        <v>19</v>
      </c>
      <c r="J71" s="157"/>
      <c r="K71" s="159"/>
      <c r="L71" s="8"/>
      <c r="M71" s="8"/>
      <c r="O71" s="8"/>
      <c r="P71" s="8"/>
      <c r="Q71" s="8"/>
      <c r="R71" s="8"/>
      <c r="S71" s="8"/>
    </row>
    <row r="72" spans="1:19" x14ac:dyDescent="0.2">
      <c r="A72" s="8"/>
      <c r="B72" s="62"/>
      <c r="C72" s="62"/>
      <c r="D72" s="62"/>
      <c r="E72" s="62"/>
      <c r="F72" s="62"/>
      <c r="G72" s="62"/>
      <c r="H72" s="47"/>
      <c r="I72" s="68"/>
      <c r="J72" s="47"/>
      <c r="K72" s="51"/>
      <c r="L72" s="8"/>
      <c r="M72" s="8"/>
      <c r="O72" s="8"/>
      <c r="P72" s="8"/>
      <c r="Q72" s="8"/>
      <c r="R72" s="8"/>
      <c r="S72" s="8"/>
    </row>
    <row r="73" spans="1:19" x14ac:dyDescent="0.2">
      <c r="A73" s="8"/>
      <c r="B73" s="284"/>
      <c r="C73" s="285"/>
      <c r="D73" s="285" t="s">
        <v>72</v>
      </c>
      <c r="E73" s="426" t="s">
        <v>144</v>
      </c>
      <c r="F73" s="465"/>
      <c r="G73" s="466"/>
      <c r="H73" s="188"/>
      <c r="I73" s="286"/>
      <c r="J73" s="179"/>
      <c r="K73" s="287"/>
      <c r="L73" s="8"/>
      <c r="M73" s="8"/>
      <c r="O73" s="8"/>
      <c r="P73" s="8"/>
      <c r="Q73" s="8"/>
      <c r="R73" s="8"/>
      <c r="S73" s="8"/>
    </row>
    <row r="74" spans="1:19" x14ac:dyDescent="0.2">
      <c r="A74" s="8"/>
      <c r="B74" s="151"/>
      <c r="C74" s="133"/>
      <c r="D74" s="133"/>
      <c r="E74" s="151" t="s">
        <v>66</v>
      </c>
      <c r="F74" s="133" t="s">
        <v>61</v>
      </c>
      <c r="G74" s="162" t="s">
        <v>71</v>
      </c>
      <c r="H74" s="152"/>
      <c r="I74" s="153"/>
      <c r="J74" s="163"/>
      <c r="K74" s="154"/>
      <c r="L74" s="8"/>
      <c r="M74" s="8"/>
      <c r="O74" s="8"/>
      <c r="P74" s="8"/>
      <c r="Q74" s="8"/>
      <c r="R74" s="8"/>
      <c r="S74" s="8"/>
    </row>
    <row r="75" spans="1:19" x14ac:dyDescent="0.2">
      <c r="A75" s="8" t="s">
        <v>0</v>
      </c>
      <c r="B75" s="135" t="s">
        <v>131</v>
      </c>
      <c r="C75" s="42"/>
      <c r="D75" s="42"/>
      <c r="E75" s="161">
        <f>E18</f>
        <v>348</v>
      </c>
      <c r="F75" s="63">
        <f>F18</f>
        <v>22</v>
      </c>
      <c r="G75" s="4">
        <f>G18</f>
        <v>13</v>
      </c>
      <c r="H75" s="63">
        <f>ABS(IF(E75&lt;180,E75,IF(E75&gt;=180,E75-180)))</f>
        <v>168</v>
      </c>
      <c r="I75" s="63">
        <f>ABS(IF(G75=0,F75-1,F75))</f>
        <v>22</v>
      </c>
      <c r="J75" s="4">
        <f>ABS(IF(G75=0,60,G75))</f>
        <v>13</v>
      </c>
      <c r="K75" s="43">
        <f>(((J75/60)+I75)/60)+H75</f>
        <v>168.37027777777777</v>
      </c>
      <c r="L75" s="8"/>
      <c r="M75" s="8"/>
      <c r="O75" s="8"/>
      <c r="P75" s="8"/>
      <c r="Q75" s="8"/>
      <c r="R75" s="8"/>
      <c r="S75" s="8"/>
    </row>
    <row r="76" spans="1:19" x14ac:dyDescent="0.2">
      <c r="A76" s="8"/>
      <c r="B76" s="83"/>
      <c r="C76" s="44"/>
      <c r="D76" s="44"/>
      <c r="E76" s="160"/>
      <c r="F76" s="23"/>
      <c r="G76" s="3"/>
      <c r="H76" s="23"/>
      <c r="I76" s="23"/>
      <c r="J76" s="3"/>
      <c r="K76" s="18"/>
      <c r="L76" s="8"/>
      <c r="M76" s="8"/>
      <c r="O76" s="8"/>
      <c r="P76" s="8"/>
      <c r="Q76" s="8"/>
      <c r="R76" s="8"/>
      <c r="S76" s="8"/>
    </row>
    <row r="77" spans="1:19" x14ac:dyDescent="0.2">
      <c r="A77" s="8"/>
      <c r="B77" s="135" t="s">
        <v>132</v>
      </c>
      <c r="C77" s="42"/>
      <c r="D77" s="42"/>
      <c r="E77" s="161">
        <f>E20</f>
        <v>168</v>
      </c>
      <c r="F77" s="63">
        <f>F20</f>
        <v>13</v>
      </c>
      <c r="G77" s="4">
        <f>G20</f>
        <v>0</v>
      </c>
      <c r="H77" s="63">
        <f>ABS(IF(E77&lt;180,E77,IF(E77&gt;=180,E77-180)))</f>
        <v>168</v>
      </c>
      <c r="I77" s="63">
        <f>ABS(IF(E77-180,F77-0))</f>
        <v>13</v>
      </c>
      <c r="J77" s="4">
        <f>ABS(IF(E77-180,G77-0))</f>
        <v>0</v>
      </c>
      <c r="K77" s="43">
        <f>(((J77/60)+I77)/60)+H77</f>
        <v>168.21666666666667</v>
      </c>
      <c r="L77" s="23"/>
      <c r="M77" s="23"/>
      <c r="N77" s="26"/>
      <c r="O77" s="26"/>
      <c r="P77" s="8"/>
      <c r="Q77" s="8"/>
      <c r="R77" s="8"/>
      <c r="S77" s="8"/>
    </row>
    <row r="78" spans="1:19" x14ac:dyDescent="0.2">
      <c r="A78" s="8"/>
      <c r="B78" s="44"/>
      <c r="C78" s="44"/>
      <c r="D78" s="44"/>
      <c r="E78" s="54"/>
      <c r="F78" s="44"/>
      <c r="G78" s="44"/>
      <c r="H78" s="44"/>
      <c r="I78" s="44"/>
      <c r="J78" s="44"/>
      <c r="K78" s="26"/>
      <c r="L78" s="23"/>
      <c r="M78" s="23"/>
      <c r="N78" s="26"/>
      <c r="O78" s="26"/>
      <c r="P78" s="8"/>
      <c r="Q78" s="8"/>
      <c r="R78" s="8"/>
      <c r="S78" s="8"/>
    </row>
    <row r="79" spans="1:19" x14ac:dyDescent="0.2">
      <c r="A79" s="8"/>
      <c r="B79" s="133" t="s">
        <v>126</v>
      </c>
      <c r="C79" s="133"/>
      <c r="D79" s="133"/>
      <c r="E79" s="150"/>
      <c r="F79" s="133"/>
      <c r="G79" s="133"/>
      <c r="H79" s="44"/>
      <c r="I79" s="44"/>
      <c r="J79" s="44"/>
      <c r="K79" s="26"/>
      <c r="L79" s="23"/>
      <c r="M79" s="23"/>
      <c r="N79" s="26"/>
      <c r="O79" s="26"/>
      <c r="P79" s="8"/>
      <c r="Q79" s="8"/>
      <c r="R79" s="8"/>
      <c r="S79" s="8"/>
    </row>
    <row r="80" spans="1:19" x14ac:dyDescent="0.2">
      <c r="A80" s="8"/>
      <c r="B80" s="156" t="s">
        <v>133</v>
      </c>
      <c r="C80" s="156"/>
      <c r="D80" s="156"/>
      <c r="E80" s="164"/>
      <c r="F80" s="156"/>
      <c r="G80" s="156"/>
      <c r="H80" s="42"/>
      <c r="I80" s="42"/>
      <c r="J80" s="42"/>
      <c r="K80" s="165"/>
      <c r="L80" s="23"/>
      <c r="M80" s="23"/>
      <c r="N80" s="26"/>
      <c r="O80" s="26"/>
      <c r="P80" s="8"/>
      <c r="Q80" s="8"/>
      <c r="R80" s="8"/>
      <c r="S80" s="8"/>
    </row>
    <row r="81" spans="1:19" x14ac:dyDescent="0.2">
      <c r="A81" s="8"/>
      <c r="B81" s="151"/>
      <c r="C81" s="133"/>
      <c r="D81" s="162"/>
      <c r="E81" s="44"/>
      <c r="F81" s="44"/>
      <c r="G81" s="167"/>
      <c r="H81" s="44" t="s">
        <v>66</v>
      </c>
      <c r="I81" s="44" t="s">
        <v>60</v>
      </c>
      <c r="J81" s="167" t="s">
        <v>65</v>
      </c>
      <c r="K81" s="18"/>
      <c r="L81" s="23"/>
      <c r="M81" s="23"/>
      <c r="N81" s="26"/>
      <c r="O81" s="26"/>
      <c r="P81" s="8"/>
      <c r="Q81" s="8"/>
      <c r="R81" s="8"/>
      <c r="S81" s="8"/>
    </row>
    <row r="82" spans="1:19" ht="13.1" x14ac:dyDescent="0.25">
      <c r="A82" s="8"/>
      <c r="B82" s="141"/>
      <c r="C82" s="63"/>
      <c r="D82" s="4" t="s">
        <v>68</v>
      </c>
      <c r="E82" s="63"/>
      <c r="F82" s="63"/>
      <c r="G82" s="4"/>
      <c r="H82" s="63">
        <f>AVERAGE(H75,H77)</f>
        <v>168</v>
      </c>
      <c r="I82" s="170">
        <f>AVERAGE(I75,I77)</f>
        <v>17.5</v>
      </c>
      <c r="J82" s="4">
        <f>AVERAGE(J75,J77)</f>
        <v>6.5</v>
      </c>
      <c r="K82" s="43">
        <f>AVERAGE(K75,K77)</f>
        <v>168.29347222222222</v>
      </c>
      <c r="L82" s="8"/>
      <c r="M82" s="8"/>
      <c r="O82" s="8"/>
      <c r="P82" s="8"/>
      <c r="Q82" s="8"/>
      <c r="R82" s="8"/>
      <c r="S82" s="8"/>
    </row>
    <row r="83" spans="1:19" x14ac:dyDescent="0.2">
      <c r="A83" s="8"/>
      <c r="B83" s="44"/>
      <c r="C83" s="44"/>
      <c r="D83" s="54"/>
      <c r="E83" s="54"/>
      <c r="F83" s="54"/>
      <c r="G83" s="54"/>
      <c r="H83" s="44"/>
      <c r="I83" s="132"/>
      <c r="J83" s="44"/>
      <c r="K83" s="26"/>
      <c r="L83" s="8"/>
      <c r="M83" s="8"/>
      <c r="O83" s="8"/>
      <c r="P83" s="8"/>
      <c r="Q83" s="8"/>
      <c r="R83" s="8"/>
      <c r="S83" s="8"/>
    </row>
    <row r="84" spans="1:19" x14ac:dyDescent="0.2">
      <c r="A84" s="8"/>
      <c r="B84" s="136"/>
      <c r="C84" s="134"/>
      <c r="D84" s="166"/>
      <c r="E84" s="137" t="s">
        <v>18</v>
      </c>
      <c r="F84" s="137" t="s">
        <v>61</v>
      </c>
      <c r="G84" s="169" t="s">
        <v>67</v>
      </c>
      <c r="H84" s="137"/>
      <c r="I84" s="137"/>
      <c r="J84" s="169"/>
      <c r="K84" s="138"/>
      <c r="L84" s="8"/>
      <c r="M84" s="28"/>
      <c r="O84" s="8"/>
      <c r="P84" s="8"/>
      <c r="Q84" s="8"/>
      <c r="R84" s="8"/>
      <c r="S84" s="8"/>
    </row>
    <row r="85" spans="1:19" ht="13.1" x14ac:dyDescent="0.25">
      <c r="A85" s="8"/>
      <c r="B85" s="139" t="s">
        <v>47</v>
      </c>
      <c r="C85" s="140"/>
      <c r="D85" s="168"/>
      <c r="E85" s="63">
        <v>64</v>
      </c>
      <c r="F85" s="63">
        <v>58</v>
      </c>
      <c r="G85" s="4">
        <v>8</v>
      </c>
      <c r="H85" s="16">
        <f>E85</f>
        <v>64</v>
      </c>
      <c r="I85" s="16">
        <f>F85</f>
        <v>58</v>
      </c>
      <c r="J85" s="17">
        <f>G85</f>
        <v>8</v>
      </c>
      <c r="K85" s="43">
        <f>(((J85/60)+I85)/60)+H85</f>
        <v>64.968888888888884</v>
      </c>
      <c r="L85" s="8"/>
      <c r="M85" s="8"/>
      <c r="O85" s="8"/>
      <c r="P85" s="8"/>
      <c r="Q85" s="8"/>
      <c r="R85" s="8"/>
      <c r="S85" s="8"/>
    </row>
    <row r="86" spans="1:19" x14ac:dyDescent="0.2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O86" s="8"/>
      <c r="P86" s="8"/>
      <c r="Q86" s="8"/>
      <c r="R86" s="8"/>
      <c r="S86" s="8"/>
    </row>
    <row r="87" spans="1:19" x14ac:dyDescent="0.2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O87" s="8"/>
      <c r="P87" s="8"/>
      <c r="Q87" s="8"/>
      <c r="R87" s="8"/>
      <c r="S87" s="8"/>
    </row>
    <row r="88" spans="1:19" x14ac:dyDescent="0.2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O88" s="8"/>
      <c r="P88" s="8"/>
      <c r="Q88" s="8"/>
      <c r="R88" s="8"/>
      <c r="S88" s="8"/>
    </row>
    <row r="89" spans="1:19" x14ac:dyDescent="0.2">
      <c r="A89" s="8"/>
      <c r="B89" s="8"/>
      <c r="C89" s="8"/>
      <c r="D89" s="8"/>
      <c r="E89" s="42"/>
      <c r="F89" s="42"/>
      <c r="G89" s="42"/>
      <c r="H89" s="42"/>
      <c r="I89" s="42"/>
      <c r="J89" s="8"/>
      <c r="K89" s="8"/>
      <c r="L89" s="8"/>
      <c r="M89" s="8"/>
      <c r="N89" s="42"/>
      <c r="O89" s="8"/>
      <c r="P89" s="8"/>
      <c r="Q89" s="8"/>
      <c r="R89" s="8"/>
      <c r="S89" s="8"/>
    </row>
    <row r="90" spans="1:19" ht="12.8" customHeight="1" x14ac:dyDescent="0.2">
      <c r="A90" s="5"/>
      <c r="B90" s="5" t="s">
        <v>1</v>
      </c>
      <c r="C90" s="5" t="s">
        <v>2</v>
      </c>
      <c r="D90" s="143" t="s">
        <v>4</v>
      </c>
      <c r="E90" s="441" t="s">
        <v>139</v>
      </c>
      <c r="F90" s="461"/>
      <c r="G90" s="462"/>
      <c r="H90" s="64"/>
      <c r="I90" s="64"/>
      <c r="J90" s="65"/>
      <c r="K90" s="2"/>
      <c r="L90" s="5"/>
      <c r="M90" s="143"/>
      <c r="N90" s="23" t="s">
        <v>5</v>
      </c>
      <c r="O90" s="2"/>
      <c r="P90" s="5" t="s">
        <v>10</v>
      </c>
      <c r="Q90" s="467" t="s">
        <v>175</v>
      </c>
      <c r="R90" s="2" t="s">
        <v>11</v>
      </c>
      <c r="S90" s="21"/>
    </row>
    <row r="91" spans="1:19" x14ac:dyDescent="0.2">
      <c r="A91" s="6"/>
      <c r="B91" s="6"/>
      <c r="C91" s="6" t="s">
        <v>3</v>
      </c>
      <c r="D91" s="144"/>
      <c r="E91" s="463"/>
      <c r="F91" s="450"/>
      <c r="G91" s="464"/>
      <c r="H91" s="14"/>
      <c r="I91" s="14"/>
      <c r="J91" s="15"/>
      <c r="K91" s="6" t="s">
        <v>9</v>
      </c>
      <c r="M91" s="144"/>
      <c r="N91" s="23" t="s">
        <v>9</v>
      </c>
      <c r="O91" s="3"/>
      <c r="P91" s="6" t="s">
        <v>169</v>
      </c>
      <c r="Q91" s="468"/>
      <c r="R91" s="3" t="s">
        <v>171</v>
      </c>
      <c r="S91" s="61"/>
    </row>
    <row r="92" spans="1:19" x14ac:dyDescent="0.2">
      <c r="A92" s="7"/>
      <c r="B92" s="7"/>
      <c r="C92" s="7" t="s">
        <v>58</v>
      </c>
      <c r="D92" s="145" t="s">
        <v>64</v>
      </c>
      <c r="E92" s="145" t="s">
        <v>18</v>
      </c>
      <c r="F92" s="149" t="s">
        <v>70</v>
      </c>
      <c r="G92" s="12" t="s">
        <v>21</v>
      </c>
      <c r="H92" s="16"/>
      <c r="I92" s="81"/>
      <c r="J92" s="17"/>
      <c r="K92" s="11" t="s">
        <v>13</v>
      </c>
      <c r="L92" s="66"/>
      <c r="M92" s="145"/>
      <c r="N92" s="142" t="s">
        <v>14</v>
      </c>
      <c r="O92" s="12"/>
      <c r="P92" s="12" t="s">
        <v>78</v>
      </c>
      <c r="Q92" s="11" t="s">
        <v>15</v>
      </c>
      <c r="R92" s="12" t="s">
        <v>16</v>
      </c>
      <c r="S92" s="21"/>
    </row>
    <row r="93" spans="1:19" ht="13.1" x14ac:dyDescent="0.25">
      <c r="A93" s="6"/>
      <c r="B93" s="6" t="s">
        <v>101</v>
      </c>
      <c r="C93" s="6">
        <v>1</v>
      </c>
      <c r="D93" s="71">
        <f>D36</f>
        <v>0.6333333333333333</v>
      </c>
      <c r="E93" s="171">
        <f>E36</f>
        <v>327</v>
      </c>
      <c r="F93" s="175">
        <f>F36</f>
        <v>25</v>
      </c>
      <c r="G93" s="173">
        <f>G36</f>
        <v>17</v>
      </c>
      <c r="H93" s="14">
        <f>IF(AND(E93&lt;179,H82&lt;90),E93,IF(AND(E93&gt;=180,H82&lt;90),E93-180,IF(AND(E93&lt;90,H82&gt;=90),E93+180,IF(AND(E93&gt;=90,E93&lt;270,H82&gt;=90),E93,IF(AND(E93&gt;=270,H82&gt;=90),E93-180,E93)))))</f>
        <v>147</v>
      </c>
      <c r="I93" s="14">
        <f>ABS(IF(E93&lt;360,F93))</f>
        <v>25</v>
      </c>
      <c r="J93" s="15">
        <f>ABS(IF(E93&lt;360,G93))</f>
        <v>17</v>
      </c>
      <c r="K93" s="18">
        <f>(((J93/60)+I93)/60)+H93</f>
        <v>147.42138888888888</v>
      </c>
      <c r="L93" s="19"/>
      <c r="M93" s="144"/>
      <c r="N93" s="288">
        <f>Varation!C27</f>
        <v>0</v>
      </c>
      <c r="O93" s="204"/>
      <c r="P93" s="198">
        <f>N93-N93</f>
        <v>0</v>
      </c>
      <c r="Q93" s="289">
        <f>Q36-P93</f>
        <v>0</v>
      </c>
      <c r="R93" s="18">
        <f>K93-P93</f>
        <v>147.42138888888888</v>
      </c>
      <c r="S93" s="61"/>
    </row>
    <row r="94" spans="1:19" x14ac:dyDescent="0.2">
      <c r="A94" s="6"/>
      <c r="B94" s="6"/>
      <c r="C94" s="6"/>
      <c r="D94" s="71"/>
      <c r="E94" s="171"/>
      <c r="F94" s="175"/>
      <c r="G94" s="173"/>
      <c r="H94" s="14"/>
      <c r="I94" s="14"/>
      <c r="J94" s="15"/>
      <c r="K94" s="18"/>
      <c r="L94" s="19"/>
      <c r="M94" s="144"/>
      <c r="N94" s="288"/>
      <c r="O94" s="204"/>
      <c r="P94" s="199"/>
      <c r="Q94" s="289"/>
      <c r="R94" s="3"/>
      <c r="S94" s="61"/>
    </row>
    <row r="95" spans="1:19" ht="13.1" x14ac:dyDescent="0.25">
      <c r="A95" s="6"/>
      <c r="B95" s="6" t="s">
        <v>102</v>
      </c>
      <c r="C95" s="6">
        <v>2</v>
      </c>
      <c r="D95" s="71">
        <f>D38</f>
        <v>0.64479166666666665</v>
      </c>
      <c r="E95" s="171">
        <f>E38</f>
        <v>147</v>
      </c>
      <c r="F95" s="175">
        <f>F38</f>
        <v>26</v>
      </c>
      <c r="G95" s="173">
        <f>G38</f>
        <v>34</v>
      </c>
      <c r="H95" s="14">
        <f>IF(AND(E95&lt;179,H86&lt;90),E95,IF(AND(E95&gt;=180,H86&lt;90),E95-180,IF(AND(E95&lt;90,H86&gt;=90),E95+180,IF(AND(E95&gt;=90,E95&lt;270,H86&gt;=90),E95,IF(AND(E95&gt;=270,H86&gt;=90),E95-180,E95)))))</f>
        <v>147</v>
      </c>
      <c r="I95" s="14">
        <f>ABS(IF(E95&lt;360,F95))</f>
        <v>26</v>
      </c>
      <c r="J95" s="15">
        <f>ABS(IF(E95&lt;360,G95))</f>
        <v>34</v>
      </c>
      <c r="K95" s="18">
        <f>(((J95/60)+I95)/60)+H95</f>
        <v>147.44277777777779</v>
      </c>
      <c r="L95" s="19"/>
      <c r="M95" s="144"/>
      <c r="N95" s="288">
        <f>Varation!C29</f>
        <v>0</v>
      </c>
      <c r="O95" s="204"/>
      <c r="P95" s="198">
        <f>N95-N93</f>
        <v>0</v>
      </c>
      <c r="Q95" s="289">
        <f>Q38-P95</f>
        <v>0</v>
      </c>
      <c r="R95" s="18">
        <f>K95-P95</f>
        <v>147.44277777777779</v>
      </c>
      <c r="S95" s="61"/>
    </row>
    <row r="96" spans="1:19" x14ac:dyDescent="0.2">
      <c r="A96" s="247" t="s">
        <v>12</v>
      </c>
      <c r="B96" s="21"/>
      <c r="C96" s="6"/>
      <c r="D96" s="71"/>
      <c r="E96" s="171"/>
      <c r="F96" s="175"/>
      <c r="G96" s="173"/>
      <c r="H96" s="14"/>
      <c r="I96" s="14"/>
      <c r="J96" s="15"/>
      <c r="K96" s="20"/>
      <c r="L96" s="19"/>
      <c r="M96" s="144"/>
      <c r="N96" s="288"/>
      <c r="O96" s="204"/>
      <c r="P96" s="199"/>
      <c r="Q96" s="289"/>
      <c r="R96" s="3"/>
      <c r="S96" s="61"/>
    </row>
    <row r="97" spans="1:19" ht="13.1" x14ac:dyDescent="0.25">
      <c r="A97" s="6"/>
      <c r="B97" s="6" t="s">
        <v>103</v>
      </c>
      <c r="C97" s="6">
        <v>3</v>
      </c>
      <c r="D97" s="71">
        <f>D40</f>
        <v>0.65798611111111105</v>
      </c>
      <c r="E97" s="171">
        <f>E40</f>
        <v>147</v>
      </c>
      <c r="F97" s="175">
        <f>F40</f>
        <v>26</v>
      </c>
      <c r="G97" s="173">
        <f>G40</f>
        <v>51</v>
      </c>
      <c r="H97" s="14">
        <f>IF(AND(E97&lt;179,H90&lt;90),E97,IF(AND(E97&gt;=180,H90&lt;90),E97-180,IF(AND(E97&lt;90,H90&gt;=90),E97+180,IF(AND(E97&gt;=90,E97&lt;270,H90&gt;=90),E97,IF(AND(E97&gt;=270,H90&gt;=90),E97-180,E97)))))</f>
        <v>147</v>
      </c>
      <c r="I97" s="14">
        <f>ABS(IF(E97&lt;360,F97))</f>
        <v>26</v>
      </c>
      <c r="J97" s="15">
        <f>ABS(IF(E97&lt;360,G97))</f>
        <v>51</v>
      </c>
      <c r="K97" s="18">
        <f>(((J97/60)+I97)/60)+H97</f>
        <v>147.44749999999999</v>
      </c>
      <c r="L97" s="19"/>
      <c r="M97" s="144"/>
      <c r="N97" s="288">
        <f>Varation!C31</f>
        <v>0</v>
      </c>
      <c r="O97" s="204"/>
      <c r="P97" s="198">
        <f>N97-N93</f>
        <v>0</v>
      </c>
      <c r="Q97" s="289">
        <f>Q40-P97</f>
        <v>0</v>
      </c>
      <c r="R97" s="18">
        <f>K97-P97</f>
        <v>147.44749999999999</v>
      </c>
      <c r="S97" s="61"/>
    </row>
    <row r="98" spans="1:19" x14ac:dyDescent="0.2">
      <c r="A98" s="9"/>
      <c r="B98" s="13"/>
      <c r="C98" s="22"/>
      <c r="D98" s="71"/>
      <c r="E98" s="171"/>
      <c r="F98" s="175"/>
      <c r="G98" s="173"/>
      <c r="H98" s="14"/>
      <c r="I98" s="14"/>
      <c r="J98" s="15"/>
      <c r="K98" s="18"/>
      <c r="L98" s="19"/>
      <c r="M98" s="202"/>
      <c r="N98" s="288"/>
      <c r="O98" s="204"/>
      <c r="P98" s="199"/>
      <c r="Q98" s="289"/>
      <c r="R98" s="18"/>
      <c r="S98" s="67"/>
    </row>
    <row r="99" spans="1:19" ht="13.1" x14ac:dyDescent="0.25">
      <c r="A99" s="7"/>
      <c r="B99" s="7" t="s">
        <v>104</v>
      </c>
      <c r="C99" s="7">
        <v>4</v>
      </c>
      <c r="D99" s="218">
        <f>D42</f>
        <v>0.66342592592592597</v>
      </c>
      <c r="E99" s="172">
        <f>E42</f>
        <v>327</v>
      </c>
      <c r="F99" s="176">
        <f>F42</f>
        <v>26</v>
      </c>
      <c r="G99" s="174">
        <f>G42</f>
        <v>46</v>
      </c>
      <c r="H99" s="16">
        <f>IF(AND(E99&lt;179,H88&lt;90),E99,IF(AND(E99&gt;=180,H88&lt;90),E99-180,IF(AND(E99&lt;90,H88&gt;=90),E99+180,IF(AND(E99&gt;=90,E99&lt;270,H88&gt;=90),E99,IF(AND(E99&gt;=270,H88&gt;=90),E99-180,E99)))))</f>
        <v>147</v>
      </c>
      <c r="I99" s="16">
        <f>ABS(IF(E99&lt;360,F99))</f>
        <v>26</v>
      </c>
      <c r="J99" s="17">
        <f>ABS(IF(E99&lt;360,G99))</f>
        <v>46</v>
      </c>
      <c r="K99" s="43">
        <f>(((J99/60)+I99)/60)+H99</f>
        <v>147.44611111111112</v>
      </c>
      <c r="L99" s="24"/>
      <c r="M99" s="141"/>
      <c r="N99" s="322">
        <f>Varation!C33</f>
        <v>0</v>
      </c>
      <c r="O99" s="205"/>
      <c r="P99" s="290">
        <f>N99-N93</f>
        <v>0</v>
      </c>
      <c r="Q99" s="290">
        <f>Q42-P99</f>
        <v>0</v>
      </c>
      <c r="R99" s="43">
        <f>K99-P99</f>
        <v>147.44611111111112</v>
      </c>
      <c r="S99" s="61"/>
    </row>
    <row r="100" spans="1:19" x14ac:dyDescent="0.2">
      <c r="A100" s="53"/>
      <c r="B100" s="114" t="s">
        <v>168</v>
      </c>
      <c r="C100" s="95"/>
      <c r="D100" s="96"/>
      <c r="E100" s="96"/>
      <c r="F100" s="96"/>
      <c r="G100" s="96"/>
      <c r="H100" s="95"/>
      <c r="I100" s="95"/>
      <c r="J100" s="97" t="s">
        <v>73</v>
      </c>
      <c r="K100" s="98">
        <f>AVERAGE(K99,K97,K95,K93)</f>
        <v>147.43944444444446</v>
      </c>
      <c r="L100" s="99"/>
      <c r="M100" s="100"/>
      <c r="N100" s="99"/>
      <c r="O100" s="99" t="s">
        <v>75</v>
      </c>
      <c r="P100" s="100">
        <f>SIN(RADIANS(K106))</f>
        <v>-0.71794577100515322</v>
      </c>
      <c r="Q100" s="101" t="s">
        <v>22</v>
      </c>
      <c r="R100" s="245">
        <f>AVERAGE(R93,R95,R97,R99)</f>
        <v>147.43944444444446</v>
      </c>
      <c r="S100" s="21"/>
    </row>
    <row r="101" spans="1:19" x14ac:dyDescent="0.2">
      <c r="A101" s="29"/>
      <c r="B101" s="264"/>
      <c r="C101" s="103"/>
      <c r="D101" s="104"/>
      <c r="E101" s="104"/>
      <c r="F101" s="104"/>
      <c r="G101" s="104"/>
      <c r="H101" s="103"/>
      <c r="I101" s="103"/>
      <c r="J101" s="105"/>
      <c r="K101" s="106"/>
      <c r="L101" s="107"/>
      <c r="M101" s="108"/>
      <c r="N101" s="107"/>
      <c r="O101" s="107" t="s">
        <v>76</v>
      </c>
      <c r="P101" s="108">
        <f>COS(RADIANS(K106))</f>
        <v>0.69609903741911339</v>
      </c>
      <c r="Q101" s="109" t="s">
        <v>178</v>
      </c>
      <c r="R101" s="323">
        <f>AVERAGE(Q93,Q95,Q97,Q99,)*3600</f>
        <v>0</v>
      </c>
      <c r="S101" s="21"/>
    </row>
    <row r="102" spans="1:19" x14ac:dyDescent="0.2">
      <c r="A102" s="14"/>
      <c r="B102" s="14"/>
      <c r="C102" s="14"/>
      <c r="D102" s="25"/>
      <c r="E102" s="25"/>
      <c r="F102" s="25"/>
      <c r="G102" s="25"/>
      <c r="H102" s="14"/>
      <c r="I102" s="14"/>
      <c r="J102" s="56"/>
      <c r="K102" s="26"/>
      <c r="L102" s="57"/>
      <c r="M102" s="58"/>
      <c r="N102" s="57"/>
      <c r="O102" s="57"/>
      <c r="P102" s="58"/>
      <c r="Q102" s="54"/>
      <c r="R102" s="26"/>
    </row>
    <row r="103" spans="1:19" x14ac:dyDescent="0.2">
      <c r="A103" s="14"/>
      <c r="B103" s="14"/>
      <c r="C103" s="14"/>
      <c r="D103" s="25"/>
      <c r="E103" s="25"/>
      <c r="F103" s="25"/>
      <c r="G103" s="25"/>
      <c r="H103" s="14"/>
      <c r="I103" s="14"/>
      <c r="J103" s="14"/>
      <c r="K103" s="26"/>
      <c r="L103" s="26"/>
      <c r="M103" s="16"/>
      <c r="N103" s="14"/>
      <c r="O103" s="14"/>
      <c r="P103" s="25"/>
      <c r="Q103" s="325" t="s">
        <v>182</v>
      </c>
      <c r="R103" s="327">
        <f>((R93+R95-R97-R99)/4)*60</f>
        <v>-0.44166666666654919</v>
      </c>
    </row>
    <row r="104" spans="1:19" ht="13.1" x14ac:dyDescent="0.25">
      <c r="A104" s="8"/>
      <c r="B104" s="8"/>
      <c r="C104" s="192"/>
      <c r="D104" s="192"/>
      <c r="E104" s="192"/>
      <c r="F104" s="191" t="s">
        <v>50</v>
      </c>
      <c r="G104" s="92"/>
      <c r="H104" s="89"/>
      <c r="I104" s="89"/>
      <c r="J104" s="90"/>
      <c r="K104" s="90">
        <f>R100+K85-K82-90</f>
        <v>-45.885138888888861</v>
      </c>
      <c r="L104" s="89"/>
      <c r="M104" s="93" t="s">
        <v>18</v>
      </c>
      <c r="N104" s="192"/>
      <c r="O104" s="192"/>
      <c r="P104" s="192"/>
      <c r="Q104" s="324" t="s">
        <v>183</v>
      </c>
      <c r="R104" s="327">
        <f>(((R93-R95-R97+R99)/4)/TAN(RADIANS(Inclination!S78)))*60</f>
        <v>-0.18601580746285465</v>
      </c>
    </row>
    <row r="105" spans="1:19" x14ac:dyDescent="0.2">
      <c r="A105" s="8"/>
      <c r="B105" s="8"/>
      <c r="C105" s="85"/>
      <c r="D105" s="85"/>
      <c r="E105" s="85"/>
      <c r="F105" s="85"/>
      <c r="G105" s="85"/>
      <c r="H105" s="94"/>
      <c r="I105" s="94"/>
      <c r="J105" s="85"/>
      <c r="K105" s="85"/>
      <c r="L105" s="85"/>
      <c r="M105" s="89"/>
      <c r="N105" s="85"/>
      <c r="O105" s="85"/>
      <c r="P105" s="85"/>
      <c r="Q105" s="85"/>
      <c r="R105" s="85"/>
    </row>
    <row r="106" spans="1:19" x14ac:dyDescent="0.2">
      <c r="A106" s="8"/>
      <c r="B106" s="69"/>
      <c r="C106" s="94"/>
      <c r="D106" s="94"/>
      <c r="E106" s="94"/>
      <c r="F106" s="194" t="s">
        <v>74</v>
      </c>
      <c r="G106" s="89"/>
      <c r="H106" s="89"/>
      <c r="I106" s="89"/>
      <c r="J106" s="89"/>
      <c r="K106" s="90">
        <f>K100+K85-K82-90</f>
        <v>-45.885138888888861</v>
      </c>
      <c r="L106" s="89"/>
      <c r="M106" s="121" t="s">
        <v>18</v>
      </c>
      <c r="N106" s="192"/>
      <c r="O106" s="192"/>
      <c r="P106" s="192"/>
      <c r="Q106" s="98"/>
      <c r="R106" s="94"/>
    </row>
    <row r="107" spans="1:19" x14ac:dyDescent="0.2">
      <c r="A107" s="8"/>
      <c r="B107" s="8"/>
      <c r="C107" s="94"/>
      <c r="D107" s="94"/>
      <c r="E107" s="94"/>
      <c r="F107" s="85"/>
      <c r="G107" s="85"/>
      <c r="H107" s="94"/>
      <c r="I107" s="94"/>
      <c r="J107" s="85"/>
      <c r="K107" s="85"/>
      <c r="L107" s="85"/>
      <c r="M107" s="85"/>
      <c r="N107" s="94"/>
      <c r="O107" s="94"/>
      <c r="P107" s="94"/>
      <c r="Q107" s="94"/>
      <c r="R107" s="94"/>
    </row>
    <row r="108" spans="1:19" x14ac:dyDescent="0.2">
      <c r="A108" s="8"/>
      <c r="B108" s="8"/>
      <c r="C108" s="94"/>
      <c r="D108" s="94"/>
      <c r="E108" s="94"/>
      <c r="F108" s="194" t="s">
        <v>170</v>
      </c>
      <c r="G108" s="89"/>
      <c r="H108" s="89"/>
      <c r="I108" s="89"/>
      <c r="J108" s="89"/>
      <c r="K108" s="89"/>
      <c r="L108" s="89"/>
      <c r="M108" s="93"/>
      <c r="N108" s="215"/>
      <c r="O108" s="93"/>
      <c r="P108" s="94"/>
      <c r="Q108" s="94"/>
      <c r="R108" s="94"/>
    </row>
    <row r="109" spans="1:19" x14ac:dyDescent="0.2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O109" s="8"/>
      <c r="P109" s="8"/>
      <c r="Q109" s="8"/>
      <c r="R109" s="8"/>
    </row>
    <row r="111" spans="1:19" ht="13.1" x14ac:dyDescent="0.25">
      <c r="A111" s="52" t="s">
        <v>184</v>
      </c>
      <c r="I111" s="45"/>
      <c r="J111" s="45"/>
      <c r="K111" s="45"/>
      <c r="L111" s="45"/>
      <c r="M111" s="45"/>
      <c r="N111" s="77"/>
      <c r="O111" s="1"/>
    </row>
    <row r="112" spans="1:19" ht="13.1" x14ac:dyDescent="0.25">
      <c r="A112" s="52" t="s">
        <v>159</v>
      </c>
      <c r="I112" s="45"/>
      <c r="J112" s="45"/>
      <c r="K112" s="45"/>
      <c r="L112" s="45"/>
      <c r="M112" s="45"/>
      <c r="N112" s="77"/>
      <c r="O112" s="1"/>
    </row>
    <row r="113" spans="1:18" ht="13.1" x14ac:dyDescent="0.25">
      <c r="A113" s="52" t="s">
        <v>192</v>
      </c>
      <c r="B113" s="52"/>
      <c r="C113" s="52"/>
      <c r="D113" s="52"/>
      <c r="E113" s="52"/>
      <c r="F113" s="52"/>
      <c r="G113" s="52"/>
      <c r="H113" s="52"/>
      <c r="I113" s="45"/>
      <c r="J113" s="45"/>
      <c r="K113" s="45"/>
      <c r="L113" s="45"/>
      <c r="M113" s="45"/>
      <c r="N113" s="77"/>
      <c r="O113" s="1"/>
    </row>
    <row r="114" spans="1:18" x14ac:dyDescent="0.2">
      <c r="A114" s="358" t="s">
        <v>176</v>
      </c>
      <c r="B114" s="358"/>
      <c r="C114" s="358"/>
      <c r="D114" s="358"/>
      <c r="E114" s="358"/>
      <c r="F114" s="358"/>
      <c r="G114" s="1"/>
      <c r="H114" s="1"/>
      <c r="I114" s="1"/>
      <c r="J114" s="1"/>
      <c r="K114" s="1"/>
      <c r="L114" s="1"/>
      <c r="M114" s="1"/>
      <c r="N114" s="77"/>
      <c r="O114" s="1"/>
    </row>
    <row r="116" spans="1:18" x14ac:dyDescent="0.2">
      <c r="B116" s="177" t="s">
        <v>115</v>
      </c>
      <c r="C116" s="178"/>
      <c r="D116" s="178"/>
      <c r="E116" s="178"/>
      <c r="F116" s="178"/>
      <c r="G116" s="178"/>
      <c r="H116" s="178"/>
      <c r="I116" s="178"/>
      <c r="J116" s="178"/>
      <c r="K116" s="179" t="s">
        <v>186</v>
      </c>
      <c r="L116" s="47" t="s">
        <v>20</v>
      </c>
    </row>
    <row r="117" spans="1:18" x14ac:dyDescent="0.2">
      <c r="B117" s="180" t="s">
        <v>116</v>
      </c>
      <c r="C117" s="181"/>
      <c r="D117" s="181"/>
      <c r="E117" s="181"/>
      <c r="F117" s="181"/>
      <c r="G117" s="181"/>
      <c r="H117" s="182"/>
      <c r="I117" s="181"/>
      <c r="J117" s="182"/>
      <c r="K117" s="183">
        <f>K7</f>
        <v>45078</v>
      </c>
      <c r="L117" s="49">
        <v>36199</v>
      </c>
    </row>
    <row r="118" spans="1:18" x14ac:dyDescent="0.2">
      <c r="A118" s="8"/>
      <c r="B118" s="180" t="s">
        <v>117</v>
      </c>
      <c r="C118" s="181"/>
      <c r="D118" s="181"/>
      <c r="E118" s="181"/>
      <c r="F118" s="181"/>
      <c r="G118" s="181"/>
      <c r="H118" s="181"/>
      <c r="I118" s="181"/>
      <c r="J118" s="181"/>
      <c r="K118" s="163" t="s">
        <v>118</v>
      </c>
      <c r="L118" s="47" t="s">
        <v>33</v>
      </c>
      <c r="M118" s="8"/>
      <c r="O118" s="8"/>
      <c r="P118" s="8"/>
      <c r="Q118" s="8"/>
      <c r="R118" s="8"/>
    </row>
    <row r="119" spans="1:18" x14ac:dyDescent="0.2">
      <c r="A119" s="8"/>
      <c r="B119" s="180" t="s">
        <v>119</v>
      </c>
      <c r="C119" s="181"/>
      <c r="D119" s="181"/>
      <c r="E119" s="181"/>
      <c r="F119" s="181"/>
      <c r="G119" s="181"/>
      <c r="H119" s="181"/>
      <c r="I119" s="181"/>
      <c r="J119" s="184"/>
      <c r="K119" s="154">
        <f>K9</f>
        <v>0.6333333333333333</v>
      </c>
      <c r="L119" s="51">
        <v>0.40319444444444441</v>
      </c>
      <c r="M119" s="8"/>
      <c r="O119" s="8"/>
      <c r="P119" s="8"/>
      <c r="Q119" s="8"/>
      <c r="R119" s="8"/>
    </row>
    <row r="120" spans="1:18" x14ac:dyDescent="0.2">
      <c r="A120" s="8"/>
      <c r="B120" s="83" t="s">
        <v>123</v>
      </c>
      <c r="C120" s="44"/>
      <c r="D120" s="44"/>
      <c r="E120" s="44"/>
      <c r="F120" s="44"/>
      <c r="G120" s="44"/>
      <c r="H120" s="44"/>
      <c r="I120" s="44"/>
      <c r="J120" s="185"/>
      <c r="K120" s="167" t="s">
        <v>125</v>
      </c>
      <c r="L120" s="41"/>
      <c r="M120" s="8"/>
      <c r="O120" s="8"/>
      <c r="P120" s="8"/>
      <c r="Q120" s="8"/>
      <c r="R120" s="8"/>
    </row>
    <row r="121" spans="1:18" x14ac:dyDescent="0.2">
      <c r="A121" s="8"/>
      <c r="B121" s="83" t="s">
        <v>124</v>
      </c>
      <c r="C121" s="44"/>
      <c r="D121" s="44"/>
      <c r="E121" s="44"/>
      <c r="F121" s="44"/>
      <c r="G121" s="44"/>
      <c r="H121" s="44"/>
      <c r="I121" s="44"/>
      <c r="J121" s="185"/>
      <c r="K121" s="395" t="s">
        <v>187</v>
      </c>
      <c r="L121" s="41"/>
      <c r="M121" s="8"/>
      <c r="O121" s="8"/>
      <c r="P121" s="8"/>
      <c r="Q121" s="8"/>
      <c r="R121" s="8"/>
    </row>
    <row r="122" spans="1:18" x14ac:dyDescent="0.2">
      <c r="A122" s="8"/>
      <c r="B122" s="135" t="s">
        <v>120</v>
      </c>
      <c r="C122" s="42"/>
      <c r="D122" s="42" t="s">
        <v>177</v>
      </c>
      <c r="E122" s="42"/>
      <c r="F122" s="42"/>
      <c r="G122" s="42"/>
      <c r="H122" s="42"/>
      <c r="I122" s="42"/>
      <c r="J122" s="186"/>
      <c r="K122" s="187"/>
      <c r="L122" s="41"/>
      <c r="M122" s="8"/>
      <c r="O122" s="8"/>
      <c r="P122" s="8"/>
      <c r="Q122" s="8"/>
      <c r="R122" s="8"/>
    </row>
    <row r="123" spans="1:18" x14ac:dyDescent="0.2">
      <c r="A123" s="8"/>
      <c r="B123" s="8"/>
      <c r="C123" s="8"/>
      <c r="D123" s="8"/>
      <c r="E123" s="8"/>
      <c r="F123" s="8"/>
      <c r="G123" s="8"/>
      <c r="H123" s="8"/>
      <c r="I123" s="27"/>
      <c r="J123" s="8"/>
      <c r="K123" s="41"/>
      <c r="L123" s="8"/>
      <c r="M123" s="8"/>
      <c r="O123" s="8"/>
      <c r="P123" s="8"/>
      <c r="Q123" s="8"/>
      <c r="R123" s="8"/>
    </row>
    <row r="124" spans="1:18" x14ac:dyDescent="0.2">
      <c r="A124" s="8"/>
      <c r="B124" s="156" t="s">
        <v>130</v>
      </c>
      <c r="C124" s="156"/>
      <c r="D124" s="156"/>
      <c r="E124" s="156"/>
      <c r="F124" s="156"/>
      <c r="G124" s="156"/>
      <c r="H124" s="157"/>
      <c r="I124" s="158" t="s">
        <v>19</v>
      </c>
      <c r="J124" s="157"/>
      <c r="K124" s="159"/>
      <c r="L124" s="8"/>
      <c r="M124" s="8"/>
      <c r="O124" s="8"/>
      <c r="P124" s="8"/>
      <c r="Q124" s="8"/>
      <c r="R124" s="8"/>
    </row>
    <row r="125" spans="1:18" x14ac:dyDescent="0.2">
      <c r="A125" s="8"/>
      <c r="B125" s="151"/>
      <c r="C125" s="133"/>
      <c r="D125" s="133" t="s">
        <v>72</v>
      </c>
      <c r="E125" s="354" t="s">
        <v>143</v>
      </c>
      <c r="F125" s="23"/>
      <c r="G125" s="3"/>
      <c r="H125" s="152"/>
      <c r="I125" s="155"/>
      <c r="J125" s="163"/>
      <c r="K125" s="154"/>
      <c r="L125" s="8"/>
      <c r="M125" s="8"/>
      <c r="O125" s="8"/>
      <c r="P125" s="8"/>
      <c r="Q125" s="8"/>
      <c r="R125" s="8"/>
    </row>
    <row r="126" spans="1:18" x14ac:dyDescent="0.2">
      <c r="A126" s="8"/>
      <c r="B126" s="151"/>
      <c r="C126" s="133"/>
      <c r="D126" s="133"/>
      <c r="E126" s="151" t="s">
        <v>66</v>
      </c>
      <c r="F126" s="133" t="s">
        <v>61</v>
      </c>
      <c r="G126" s="162" t="s">
        <v>71</v>
      </c>
      <c r="H126" s="152"/>
      <c r="I126" s="153"/>
      <c r="J126" s="163"/>
      <c r="K126" s="154"/>
      <c r="L126" s="8"/>
      <c r="M126" s="8"/>
      <c r="O126" s="8"/>
      <c r="P126" s="8"/>
      <c r="Q126" s="8"/>
      <c r="R126" s="8"/>
    </row>
    <row r="127" spans="1:18" x14ac:dyDescent="0.2">
      <c r="A127" s="8" t="s">
        <v>0</v>
      </c>
      <c r="B127" s="135" t="s">
        <v>131</v>
      </c>
      <c r="C127" s="42"/>
      <c r="D127" s="42"/>
      <c r="E127" s="359">
        <f>E18</f>
        <v>348</v>
      </c>
      <c r="F127" s="360">
        <f>F18</f>
        <v>22</v>
      </c>
      <c r="G127" s="360">
        <f>G18</f>
        <v>13</v>
      </c>
      <c r="H127" s="63">
        <f>ABS(IF(E127&lt;180,E127,IF(E127&gt;=180,E127-180)))</f>
        <v>168</v>
      </c>
      <c r="I127" s="63">
        <f>ABS(IF(G127=0,F127-1,F127))</f>
        <v>22</v>
      </c>
      <c r="J127" s="4">
        <f>ABS(IF(G127=0,60,G127))</f>
        <v>13</v>
      </c>
      <c r="K127" s="43">
        <f>(((J127/60)+I127)/60)+H127</f>
        <v>168.37027777777777</v>
      </c>
      <c r="L127" s="8"/>
      <c r="M127" s="8"/>
      <c r="O127" s="8"/>
      <c r="P127" s="8"/>
      <c r="Q127" s="8"/>
      <c r="R127" s="8"/>
    </row>
    <row r="128" spans="1:18" x14ac:dyDescent="0.2">
      <c r="A128" s="8"/>
      <c r="B128" s="83"/>
      <c r="C128" s="44"/>
      <c r="D128" s="44"/>
      <c r="E128" s="160"/>
      <c r="F128" s="23"/>
      <c r="G128" s="3"/>
      <c r="H128" s="23"/>
      <c r="I128" s="23"/>
      <c r="J128" s="3"/>
      <c r="K128" s="18"/>
      <c r="L128" s="8"/>
      <c r="M128" s="8"/>
      <c r="O128" s="8"/>
      <c r="P128" s="8"/>
      <c r="Q128" s="8"/>
      <c r="R128" s="8"/>
    </row>
    <row r="129" spans="1:18" x14ac:dyDescent="0.2">
      <c r="A129" s="8"/>
      <c r="B129" s="135" t="s">
        <v>132</v>
      </c>
      <c r="C129" s="42"/>
      <c r="D129" s="42"/>
      <c r="E129" s="359">
        <f>E20</f>
        <v>168</v>
      </c>
      <c r="F129" s="360">
        <f>F20</f>
        <v>13</v>
      </c>
      <c r="G129" s="360">
        <f>G20</f>
        <v>0</v>
      </c>
      <c r="H129" s="63">
        <f>ABS(IF(E129&lt;180,E129,IF(E129&gt;=180,E129-180)))</f>
        <v>168</v>
      </c>
      <c r="I129" s="63">
        <f>ABS(IF(E129-180,F129-0))</f>
        <v>13</v>
      </c>
      <c r="J129" s="4">
        <f>ABS(IF(E129-180,G129-0))</f>
        <v>0</v>
      </c>
      <c r="K129" s="43">
        <f>(((J129/60)+I129)/60)+H129</f>
        <v>168.21666666666667</v>
      </c>
      <c r="L129" s="23"/>
      <c r="M129" s="23"/>
      <c r="N129" s="26"/>
      <c r="O129" s="26"/>
      <c r="P129" s="8"/>
      <c r="Q129" s="8"/>
      <c r="R129" s="8"/>
    </row>
    <row r="130" spans="1:18" x14ac:dyDescent="0.2">
      <c r="A130" s="8"/>
      <c r="B130" s="44"/>
      <c r="C130" s="44"/>
      <c r="D130" s="44"/>
      <c r="E130" s="54"/>
      <c r="F130" s="44"/>
      <c r="G130" s="44"/>
      <c r="H130" s="44"/>
      <c r="I130" s="44"/>
      <c r="J130" s="44"/>
      <c r="K130" s="26"/>
      <c r="L130" s="23"/>
      <c r="M130" s="23"/>
      <c r="N130" s="26"/>
      <c r="O130" s="26"/>
      <c r="P130" s="8"/>
      <c r="Q130" s="8"/>
      <c r="R130" s="8"/>
    </row>
    <row r="131" spans="1:18" x14ac:dyDescent="0.2">
      <c r="A131" s="8"/>
      <c r="B131" s="133" t="s">
        <v>126</v>
      </c>
      <c r="C131" s="133"/>
      <c r="D131" s="133"/>
      <c r="E131" s="150"/>
      <c r="F131" s="133"/>
      <c r="G131" s="133"/>
      <c r="H131" s="44"/>
      <c r="I131" s="44"/>
      <c r="J131" s="44"/>
      <c r="K131" s="26"/>
      <c r="L131" s="23"/>
      <c r="M131" s="23"/>
      <c r="N131" s="26"/>
      <c r="O131" s="26"/>
      <c r="P131" s="8"/>
      <c r="Q131" s="8"/>
      <c r="R131" s="8"/>
    </row>
    <row r="132" spans="1:18" x14ac:dyDescent="0.2">
      <c r="A132" s="8"/>
      <c r="B132" s="156" t="s">
        <v>133</v>
      </c>
      <c r="C132" s="156"/>
      <c r="D132" s="156"/>
      <c r="E132" s="164"/>
      <c r="F132" s="156"/>
      <c r="G132" s="156"/>
      <c r="H132" s="42"/>
      <c r="I132" s="42"/>
      <c r="J132" s="42"/>
      <c r="K132" s="165"/>
      <c r="L132" s="23"/>
      <c r="M132" s="23"/>
      <c r="N132" s="26"/>
      <c r="O132" s="26"/>
      <c r="P132" s="8"/>
      <c r="Q132" s="8"/>
      <c r="R132" s="8"/>
    </row>
    <row r="133" spans="1:18" x14ac:dyDescent="0.2">
      <c r="A133" s="8"/>
      <c r="B133" s="151"/>
      <c r="C133" s="133"/>
      <c r="D133" s="162"/>
      <c r="E133" s="44"/>
      <c r="F133" s="44"/>
      <c r="G133" s="167"/>
      <c r="H133" s="44" t="s">
        <v>66</v>
      </c>
      <c r="I133" s="44" t="s">
        <v>60</v>
      </c>
      <c r="J133" s="167" t="s">
        <v>65</v>
      </c>
      <c r="K133" s="18"/>
      <c r="L133" s="23"/>
      <c r="M133" s="23"/>
      <c r="N133" s="26"/>
      <c r="O133" s="26"/>
      <c r="P133" s="8"/>
      <c r="Q133" s="8"/>
      <c r="R133" s="8"/>
    </row>
    <row r="134" spans="1:18" ht="13.1" x14ac:dyDescent="0.25">
      <c r="A134" s="8"/>
      <c r="B134" s="141"/>
      <c r="C134" s="63"/>
      <c r="D134" s="4" t="s">
        <v>68</v>
      </c>
      <c r="E134" s="63"/>
      <c r="F134" s="63"/>
      <c r="G134" s="4"/>
      <c r="H134" s="63">
        <f>AVERAGE(H127,H129)</f>
        <v>168</v>
      </c>
      <c r="I134" s="170">
        <f>AVERAGE(I127,I129)</f>
        <v>17.5</v>
      </c>
      <c r="J134" s="4">
        <f>AVERAGE(J127,J129)</f>
        <v>6.5</v>
      </c>
      <c r="K134" s="43">
        <f>AVERAGE(K127,K129)</f>
        <v>168.29347222222222</v>
      </c>
      <c r="L134" s="8"/>
      <c r="M134" s="8"/>
      <c r="O134" s="8"/>
      <c r="P134" s="8"/>
      <c r="Q134" s="8"/>
      <c r="R134" s="8"/>
    </row>
    <row r="135" spans="1:18" x14ac:dyDescent="0.2">
      <c r="A135" s="8"/>
      <c r="B135" s="44"/>
      <c r="C135" s="44"/>
      <c r="D135" s="54"/>
      <c r="E135" s="54"/>
      <c r="F135" s="54"/>
      <c r="G135" s="54"/>
      <c r="H135" s="44"/>
      <c r="I135" s="132"/>
      <c r="J135" s="44"/>
      <c r="K135" s="26"/>
      <c r="L135" s="8"/>
      <c r="M135" s="8"/>
      <c r="O135" s="8"/>
      <c r="P135" s="8"/>
      <c r="Q135" s="8"/>
      <c r="R135" s="8"/>
    </row>
    <row r="136" spans="1:18" x14ac:dyDescent="0.2">
      <c r="A136" s="8"/>
      <c r="B136" s="136"/>
      <c r="C136" s="134"/>
      <c r="D136" s="166"/>
      <c r="E136" s="137" t="s">
        <v>18</v>
      </c>
      <c r="F136" s="137" t="s">
        <v>61</v>
      </c>
      <c r="G136" s="169" t="s">
        <v>67</v>
      </c>
      <c r="H136" s="137"/>
      <c r="I136" s="137"/>
      <c r="J136" s="169"/>
      <c r="K136" s="138"/>
      <c r="L136" s="8"/>
      <c r="M136" s="28"/>
      <c r="O136" s="8"/>
      <c r="P136" s="8"/>
      <c r="Q136" s="8"/>
      <c r="R136" s="8"/>
    </row>
    <row r="137" spans="1:18" ht="13.1" x14ac:dyDescent="0.25">
      <c r="A137" s="8"/>
      <c r="B137" s="139" t="s">
        <v>47</v>
      </c>
      <c r="C137" s="140"/>
      <c r="D137" s="168"/>
      <c r="E137" s="63">
        <v>64</v>
      </c>
      <c r="F137" s="63">
        <v>58</v>
      </c>
      <c r="G137" s="4">
        <v>8</v>
      </c>
      <c r="H137" s="16">
        <f>E137</f>
        <v>64</v>
      </c>
      <c r="I137" s="16">
        <f>F137</f>
        <v>58</v>
      </c>
      <c r="J137" s="17">
        <f>G137</f>
        <v>8</v>
      </c>
      <c r="K137" s="43">
        <f>(((J137/60)+I137)/60)+H137</f>
        <v>64.968888888888884</v>
      </c>
      <c r="L137" s="8"/>
      <c r="M137" s="8"/>
      <c r="O137" s="8"/>
      <c r="P137" s="8"/>
      <c r="Q137" s="8"/>
      <c r="R137" s="8"/>
    </row>
    <row r="138" spans="1:18" x14ac:dyDescent="0.2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O138" s="8"/>
      <c r="P138" s="8"/>
      <c r="Q138" s="8"/>
      <c r="R138" s="8"/>
    </row>
    <row r="139" spans="1:18" x14ac:dyDescent="0.2">
      <c r="A139" s="8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O139" s="8"/>
      <c r="P139" s="8"/>
      <c r="Q139" s="8"/>
      <c r="R139" s="8"/>
    </row>
    <row r="140" spans="1:18" x14ac:dyDescent="0.2">
      <c r="A140" s="8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O140" s="8"/>
      <c r="P140" s="8"/>
      <c r="Q140" s="8"/>
      <c r="R140" s="8"/>
    </row>
    <row r="141" spans="1:18" x14ac:dyDescent="0.2">
      <c r="A141" s="8"/>
      <c r="B141" s="8"/>
      <c r="C141" s="8"/>
      <c r="D141" s="8"/>
      <c r="E141" s="42"/>
      <c r="F141" s="42"/>
      <c r="G141" s="42"/>
      <c r="H141" s="42"/>
      <c r="I141" s="42"/>
      <c r="J141" s="8"/>
      <c r="K141" s="8"/>
      <c r="L141" s="8"/>
      <c r="M141" s="8"/>
      <c r="N141" s="42"/>
      <c r="O141" s="8"/>
      <c r="P141" s="8"/>
      <c r="Q141" s="8"/>
      <c r="R141" s="8"/>
    </row>
    <row r="142" spans="1:18" ht="12.45" customHeight="1" x14ac:dyDescent="0.2">
      <c r="A142" s="5"/>
      <c r="B142" s="5" t="s">
        <v>1</v>
      </c>
      <c r="C142" s="5" t="s">
        <v>2</v>
      </c>
      <c r="D142" s="353" t="s">
        <v>4</v>
      </c>
      <c r="E142" s="441" t="s">
        <v>139</v>
      </c>
      <c r="F142" s="461"/>
      <c r="G142" s="462"/>
      <c r="H142" s="350"/>
      <c r="I142" s="350"/>
      <c r="J142" s="356"/>
      <c r="K142" s="357"/>
      <c r="L142" s="5"/>
      <c r="M142" s="353"/>
      <c r="N142" s="23" t="s">
        <v>5</v>
      </c>
      <c r="O142" s="357"/>
      <c r="P142" s="357" t="s">
        <v>8</v>
      </c>
      <c r="Q142" s="5" t="s">
        <v>10</v>
      </c>
      <c r="R142" s="357" t="s">
        <v>11</v>
      </c>
    </row>
    <row r="143" spans="1:18" x14ac:dyDescent="0.2">
      <c r="A143" s="6"/>
      <c r="B143" s="6"/>
      <c r="C143" s="6" t="s">
        <v>3</v>
      </c>
      <c r="D143" s="354"/>
      <c r="E143" s="463"/>
      <c r="F143" s="450"/>
      <c r="G143" s="464"/>
      <c r="H143" s="14"/>
      <c r="I143" s="14"/>
      <c r="J143" s="15"/>
      <c r="K143" s="6" t="s">
        <v>9</v>
      </c>
      <c r="M143" s="354"/>
      <c r="N143" s="23" t="s">
        <v>82</v>
      </c>
      <c r="O143" s="3"/>
      <c r="P143" s="3" t="s">
        <v>9</v>
      </c>
      <c r="Q143" s="6" t="s">
        <v>62</v>
      </c>
      <c r="R143" s="3" t="s">
        <v>63</v>
      </c>
    </row>
    <row r="144" spans="1:18" x14ac:dyDescent="0.2">
      <c r="A144" s="7"/>
      <c r="B144" s="7"/>
      <c r="C144" s="7" t="s">
        <v>58</v>
      </c>
      <c r="D144" s="355" t="s">
        <v>64</v>
      </c>
      <c r="E144" s="355" t="s">
        <v>18</v>
      </c>
      <c r="F144" s="149" t="s">
        <v>70</v>
      </c>
      <c r="G144" s="12" t="s">
        <v>21</v>
      </c>
      <c r="H144" s="16"/>
      <c r="I144" s="81"/>
      <c r="J144" s="17"/>
      <c r="K144" s="11" t="s">
        <v>13</v>
      </c>
      <c r="L144" s="66"/>
      <c r="M144" s="355"/>
      <c r="N144" s="142" t="s">
        <v>14</v>
      </c>
      <c r="O144" s="12"/>
      <c r="P144" s="12" t="s">
        <v>78</v>
      </c>
      <c r="Q144" s="11" t="s">
        <v>15</v>
      </c>
      <c r="R144" s="12" t="s">
        <v>16</v>
      </c>
    </row>
    <row r="145" spans="1:18" ht="13.1" x14ac:dyDescent="0.25">
      <c r="A145" s="6"/>
      <c r="B145" s="6" t="s">
        <v>101</v>
      </c>
      <c r="C145" s="6">
        <v>1</v>
      </c>
      <c r="D145" s="71">
        <f>D36</f>
        <v>0.6333333333333333</v>
      </c>
      <c r="E145" s="361">
        <f>E36</f>
        <v>327</v>
      </c>
      <c r="F145" s="361">
        <f>F36</f>
        <v>25</v>
      </c>
      <c r="G145" s="361">
        <f>G36</f>
        <v>17</v>
      </c>
      <c r="H145" s="14">
        <f>IF(AND(E145&lt;179,H134&lt;90),E145,IF(AND(E145&gt;=180,H134&lt;90),E145-180,IF(AND(E145&lt;90,H134&gt;=90),E145+180,IF(AND(E145&gt;=90,E145&lt;270,H134&gt;=90),E145,IF(AND(E145&gt;=270,H134&gt;=90),E145-180,E145)))))</f>
        <v>147</v>
      </c>
      <c r="I145" s="14">
        <f>ABS(IF(E145&lt;360,F145))</f>
        <v>25</v>
      </c>
      <c r="J145" s="15">
        <f>ABS(IF(E145&lt;360,G145))</f>
        <v>17</v>
      </c>
      <c r="K145" s="18">
        <f>(((J145/60)+I145)/60)+H145</f>
        <v>147.42138888888888</v>
      </c>
      <c r="L145" s="19"/>
      <c r="M145" s="354"/>
      <c r="N145" s="255"/>
      <c r="O145" s="204"/>
      <c r="P145" s="198" t="e">
        <f>Varation!K45</f>
        <v>#DIV/0!</v>
      </c>
      <c r="Q145" s="19" t="e">
        <f>P145-P145</f>
        <v>#DIV/0!</v>
      </c>
      <c r="R145" s="18" t="e">
        <f>K145-Q145</f>
        <v>#DIV/0!</v>
      </c>
    </row>
    <row r="146" spans="1:18" x14ac:dyDescent="0.2">
      <c r="A146" s="6"/>
      <c r="B146" s="6"/>
      <c r="C146" s="6"/>
      <c r="D146" s="71"/>
      <c r="E146" s="171"/>
      <c r="F146" s="175"/>
      <c r="G146" s="173"/>
      <c r="H146" s="14"/>
      <c r="I146" s="14"/>
      <c r="J146" s="15"/>
      <c r="K146" s="18"/>
      <c r="L146" s="19"/>
      <c r="M146" s="354"/>
      <c r="N146" s="255"/>
      <c r="O146" s="204"/>
      <c r="P146" s="199"/>
      <c r="Q146" s="6"/>
      <c r="R146" s="3"/>
    </row>
    <row r="147" spans="1:18" ht="13.1" x14ac:dyDescent="0.25">
      <c r="A147" s="6"/>
      <c r="B147" s="6" t="s">
        <v>102</v>
      </c>
      <c r="C147" s="6">
        <v>2</v>
      </c>
      <c r="D147" s="71">
        <f>D38</f>
        <v>0.64479166666666665</v>
      </c>
      <c r="E147" s="361">
        <f>E38</f>
        <v>147</v>
      </c>
      <c r="F147" s="361">
        <f>F38</f>
        <v>26</v>
      </c>
      <c r="G147" s="361">
        <f>G38</f>
        <v>34</v>
      </c>
      <c r="H147" s="14">
        <f>IF(AND(E147&lt;179,H138&lt;90),E147,IF(AND(E147&gt;=180,H138&lt;90),E147-180,IF(AND(E147&lt;90,H138&gt;=90),E147+180,IF(AND(E147&gt;=90,E147&lt;270,H138&gt;=90),E147,IF(AND(E147&gt;=270,H138&gt;=90),E147-180,E147)))))</f>
        <v>147</v>
      </c>
      <c r="I147" s="14">
        <f>ABS(IF(E147&lt;360,F147))</f>
        <v>26</v>
      </c>
      <c r="J147" s="15">
        <f>ABS(IF(E147&lt;360,G147))</f>
        <v>34</v>
      </c>
      <c r="K147" s="18">
        <f>(((J147/60)+I147)/60)+H147</f>
        <v>147.44277777777779</v>
      </c>
      <c r="L147" s="19"/>
      <c r="M147" s="354"/>
      <c r="N147" s="255"/>
      <c r="O147" s="204"/>
      <c r="P147" s="198" t="e">
        <f>Varation!K47</f>
        <v>#DIV/0!</v>
      </c>
      <c r="Q147" s="19" t="e">
        <f>P147-P145</f>
        <v>#DIV/0!</v>
      </c>
      <c r="R147" s="18" t="e">
        <f>K147-Q147</f>
        <v>#DIV/0!</v>
      </c>
    </row>
    <row r="148" spans="1:18" x14ac:dyDescent="0.2">
      <c r="A148" s="247" t="s">
        <v>12</v>
      </c>
      <c r="B148" s="21"/>
      <c r="C148" s="6"/>
      <c r="D148" s="71"/>
      <c r="E148" s="171"/>
      <c r="F148" s="175"/>
      <c r="G148" s="173"/>
      <c r="H148" s="14"/>
      <c r="I148" s="14"/>
      <c r="J148" s="15"/>
      <c r="K148" s="20"/>
      <c r="L148" s="19"/>
      <c r="M148" s="354"/>
      <c r="N148" s="255"/>
      <c r="O148" s="204"/>
      <c r="P148" s="199"/>
      <c r="Q148" s="6"/>
      <c r="R148" s="3"/>
    </row>
    <row r="149" spans="1:18" ht="13.1" x14ac:dyDescent="0.25">
      <c r="A149" s="6"/>
      <c r="B149" s="6" t="s">
        <v>103</v>
      </c>
      <c r="C149" s="6">
        <v>3</v>
      </c>
      <c r="D149" s="71">
        <f>D40</f>
        <v>0.65798611111111105</v>
      </c>
      <c r="E149" s="361">
        <f>E40</f>
        <v>147</v>
      </c>
      <c r="F149" s="361">
        <f>F40</f>
        <v>26</v>
      </c>
      <c r="G149" s="361">
        <f>G40</f>
        <v>51</v>
      </c>
      <c r="H149" s="14">
        <f>IF(AND(E149&lt;179,H142&lt;90),E149,IF(AND(E149&gt;=180,H142&lt;90),E149-180,IF(AND(E149&lt;90,H142&gt;=90),E149+180,IF(AND(E149&gt;=90,E149&lt;270,H142&gt;=90),E149,IF(AND(E149&gt;=270,H142&gt;=90),E149-180,E149)))))</f>
        <v>147</v>
      </c>
      <c r="I149" s="14">
        <f>ABS(IF(E149&lt;360,F149))</f>
        <v>26</v>
      </c>
      <c r="J149" s="15">
        <f>ABS(IF(E149&lt;360,G149))</f>
        <v>51</v>
      </c>
      <c r="K149" s="18">
        <f>(((J149/60)+I149)/60)+H149</f>
        <v>147.44749999999999</v>
      </c>
      <c r="L149" s="19"/>
      <c r="M149" s="354"/>
      <c r="N149" s="255"/>
      <c r="O149" s="204"/>
      <c r="P149" s="198" t="e">
        <f>Varation!K49</f>
        <v>#DIV/0!</v>
      </c>
      <c r="Q149" s="19" t="e">
        <f>P149-P145</f>
        <v>#DIV/0!</v>
      </c>
      <c r="R149" s="18" t="e">
        <f>K149-Q149</f>
        <v>#DIV/0!</v>
      </c>
    </row>
    <row r="150" spans="1:18" x14ac:dyDescent="0.2">
      <c r="A150" s="9"/>
      <c r="B150" s="13"/>
      <c r="C150" s="22"/>
      <c r="D150" s="71"/>
      <c r="E150" s="171"/>
      <c r="F150" s="175"/>
      <c r="G150" s="173"/>
      <c r="H150" s="14"/>
      <c r="I150" s="14"/>
      <c r="J150" s="15"/>
      <c r="K150" s="18"/>
      <c r="L150" s="19"/>
      <c r="M150" s="352"/>
      <c r="N150" s="255"/>
      <c r="O150" s="204"/>
      <c r="P150" s="199"/>
      <c r="Q150" s="19"/>
      <c r="R150" s="18"/>
    </row>
    <row r="151" spans="1:18" ht="13.1" x14ac:dyDescent="0.25">
      <c r="A151" s="7"/>
      <c r="B151" s="7" t="s">
        <v>104</v>
      </c>
      <c r="C151" s="7">
        <v>4</v>
      </c>
      <c r="D151" s="218">
        <f>D42</f>
        <v>0.66342592592592597</v>
      </c>
      <c r="E151" s="361">
        <f>E42</f>
        <v>327</v>
      </c>
      <c r="F151" s="361">
        <f>F42</f>
        <v>26</v>
      </c>
      <c r="G151" s="361">
        <f>G42</f>
        <v>46</v>
      </c>
      <c r="H151" s="16">
        <f>IF(AND(E151&lt;179,H140&lt;90),E151,IF(AND(E151&gt;=180,H140&lt;90),E151-180,IF(AND(E151&lt;90,H140&gt;=90),E151+180,IF(AND(E151&gt;=90,E151&lt;270,H140&gt;=90),E151,IF(AND(E151&gt;=270,H140&gt;=90),E151-180,E151)))))</f>
        <v>147</v>
      </c>
      <c r="I151" s="16">
        <f>ABS(IF(E151&lt;360,F151))</f>
        <v>26</v>
      </c>
      <c r="J151" s="17">
        <f>ABS(IF(E151&lt;360,G151))</f>
        <v>46</v>
      </c>
      <c r="K151" s="43">
        <f>(((J151/60)+I151)/60)+H151</f>
        <v>147.44611111111112</v>
      </c>
      <c r="L151" s="24"/>
      <c r="M151" s="141"/>
      <c r="N151" s="256"/>
      <c r="O151" s="299"/>
      <c r="P151" s="290" t="e">
        <f>Varation!K51</f>
        <v>#DIV/0!</v>
      </c>
      <c r="Q151" s="43" t="e">
        <f>P151-P145</f>
        <v>#DIV/0!</v>
      </c>
      <c r="R151" s="43" t="e">
        <f>K151-Q151</f>
        <v>#DIV/0!</v>
      </c>
    </row>
    <row r="152" spans="1:18" x14ac:dyDescent="0.2">
      <c r="A152" s="53"/>
      <c r="B152" s="114" t="s">
        <v>168</v>
      </c>
      <c r="C152" s="95"/>
      <c r="D152" s="96"/>
      <c r="E152" s="96"/>
      <c r="F152" s="96"/>
      <c r="G152" s="96"/>
      <c r="H152" s="95"/>
      <c r="I152" s="95"/>
      <c r="J152" s="97" t="s">
        <v>73</v>
      </c>
      <c r="K152" s="98">
        <f>AVERAGE(K151,K149,K147,K145)</f>
        <v>147.43944444444446</v>
      </c>
      <c r="L152" s="99"/>
      <c r="M152" s="100"/>
      <c r="N152" s="99"/>
      <c r="O152" s="99" t="s">
        <v>75</v>
      </c>
      <c r="P152" s="100">
        <f>SIN(RADIANS(K158))</f>
        <v>-0.71794577100515322</v>
      </c>
      <c r="Q152" s="101" t="s">
        <v>22</v>
      </c>
      <c r="R152" s="245" t="e">
        <f>AVERAGE(R145,R147,R149,R151)</f>
        <v>#DIV/0!</v>
      </c>
    </row>
    <row r="153" spans="1:18" x14ac:dyDescent="0.2">
      <c r="A153" s="29"/>
      <c r="B153" s="264"/>
      <c r="C153" s="103"/>
      <c r="D153" s="104"/>
      <c r="E153" s="104"/>
      <c r="F153" s="104"/>
      <c r="G153" s="104"/>
      <c r="H153" s="103"/>
      <c r="I153" s="103"/>
      <c r="J153" s="105"/>
      <c r="K153" s="106"/>
      <c r="L153" s="107"/>
      <c r="M153" s="108"/>
      <c r="N153" s="107"/>
      <c r="O153" s="107" t="s">
        <v>76</v>
      </c>
      <c r="P153" s="108">
        <f>COS(RADIANS(K158))</f>
        <v>0.69609903741911339</v>
      </c>
      <c r="Q153" s="109"/>
      <c r="R153" s="110"/>
    </row>
    <row r="154" spans="1:18" x14ac:dyDescent="0.2">
      <c r="A154" s="14"/>
      <c r="B154" s="14"/>
      <c r="C154" s="14"/>
      <c r="D154" s="25"/>
      <c r="E154" s="25"/>
      <c r="F154" s="25"/>
      <c r="G154" s="25"/>
      <c r="H154" s="14"/>
      <c r="I154" s="14"/>
      <c r="J154" s="56"/>
      <c r="K154" s="26"/>
      <c r="L154" s="57"/>
      <c r="M154" s="58"/>
      <c r="N154" s="57"/>
      <c r="O154" s="57"/>
      <c r="P154" s="58"/>
      <c r="Q154" s="54"/>
      <c r="R154" s="26"/>
    </row>
    <row r="155" spans="1:18" x14ac:dyDescent="0.2">
      <c r="A155" s="14"/>
      <c r="B155" s="14"/>
      <c r="C155" s="14"/>
      <c r="D155" s="25"/>
      <c r="E155" s="25"/>
      <c r="F155" s="25"/>
      <c r="G155" s="25"/>
      <c r="H155" s="14"/>
      <c r="I155" s="14"/>
      <c r="J155" s="14"/>
      <c r="K155" s="26"/>
      <c r="L155" s="26"/>
      <c r="M155" s="16"/>
      <c r="N155" s="14"/>
      <c r="O155" s="14"/>
      <c r="P155" s="25"/>
      <c r="Q155" s="25"/>
      <c r="R155" s="25"/>
    </row>
    <row r="156" spans="1:18" x14ac:dyDescent="0.2">
      <c r="A156" s="8"/>
      <c r="B156" s="8"/>
      <c r="C156" s="192"/>
      <c r="D156" s="192"/>
      <c r="E156" s="192"/>
      <c r="F156" s="191" t="s">
        <v>50</v>
      </c>
      <c r="G156" s="92"/>
      <c r="H156" s="89"/>
      <c r="I156" s="89"/>
      <c r="J156" s="90"/>
      <c r="K156" s="90" t="e">
        <f>R152+K137-K134-90</f>
        <v>#DIV/0!</v>
      </c>
      <c r="L156" s="89"/>
      <c r="M156" s="93" t="s">
        <v>18</v>
      </c>
      <c r="N156" s="192"/>
      <c r="O156" s="192"/>
      <c r="P156" s="192"/>
      <c r="Q156" s="97" t="s">
        <v>180</v>
      </c>
      <c r="R156" s="327" t="e">
        <f>((R145+R147-R149-R151)/4)*60</f>
        <v>#DIV/0!</v>
      </c>
    </row>
    <row r="157" spans="1:18" ht="13.1" x14ac:dyDescent="0.25">
      <c r="A157" s="8"/>
      <c r="B157" s="8"/>
      <c r="C157" s="85"/>
      <c r="D157" s="85"/>
      <c r="E157" s="85"/>
      <c r="F157" s="85"/>
      <c r="G157" s="85"/>
      <c r="H157" s="94"/>
      <c r="I157" s="94"/>
      <c r="J157" s="85"/>
      <c r="K157" s="85"/>
      <c r="L157" s="85"/>
      <c r="M157" s="89"/>
      <c r="N157" s="85"/>
      <c r="O157" s="85"/>
      <c r="P157" s="85"/>
      <c r="Q157" s="349" t="s">
        <v>181</v>
      </c>
      <c r="R157" s="327" t="e">
        <f>(((R145-R147-R149+R151)/4)/TAN(RADIANS(Inclination!S109)))*60</f>
        <v>#DIV/0!</v>
      </c>
    </row>
    <row r="158" spans="1:18" x14ac:dyDescent="0.2">
      <c r="A158" s="8"/>
      <c r="B158" s="69"/>
      <c r="C158" s="94"/>
      <c r="D158" s="94"/>
      <c r="E158" s="94"/>
      <c r="F158" s="194" t="s">
        <v>74</v>
      </c>
      <c r="G158" s="89"/>
      <c r="H158" s="89"/>
      <c r="I158" s="89"/>
      <c r="J158" s="89"/>
      <c r="K158" s="90">
        <f>K152+K137-K134-90</f>
        <v>-45.885138888888861</v>
      </c>
      <c r="L158" s="89"/>
      <c r="M158" s="121" t="s">
        <v>18</v>
      </c>
      <c r="N158" s="192"/>
      <c r="O158" s="192"/>
      <c r="P158" s="192"/>
      <c r="Q158" s="98"/>
      <c r="R158" s="328"/>
    </row>
    <row r="159" spans="1:18" x14ac:dyDescent="0.2">
      <c r="A159" s="8"/>
      <c r="B159" s="8"/>
      <c r="C159" s="94"/>
      <c r="D159" s="94"/>
      <c r="E159" s="94"/>
      <c r="F159" s="85"/>
      <c r="G159" s="85"/>
      <c r="H159" s="94"/>
      <c r="I159" s="94"/>
      <c r="J159" s="85"/>
      <c r="K159" s="85"/>
      <c r="L159" s="85"/>
      <c r="M159" s="85"/>
      <c r="N159" s="94"/>
      <c r="O159" s="94"/>
      <c r="P159" s="94"/>
      <c r="Q159" s="94"/>
      <c r="R159" s="94"/>
    </row>
    <row r="160" spans="1:18" x14ac:dyDescent="0.2">
      <c r="A160" s="8"/>
      <c r="B160" s="8"/>
      <c r="C160" s="94"/>
      <c r="D160" s="94"/>
      <c r="E160" s="94"/>
      <c r="F160" s="194" t="s">
        <v>92</v>
      </c>
      <c r="G160" s="89"/>
      <c r="H160" s="89"/>
      <c r="I160" s="89"/>
      <c r="J160" s="89"/>
      <c r="K160" s="89"/>
      <c r="L160" s="89"/>
      <c r="M160" s="93"/>
      <c r="N160" s="215"/>
      <c r="O160" s="94"/>
      <c r="P160" s="94"/>
      <c r="Q160" s="94"/>
      <c r="R160" s="94"/>
    </row>
  </sheetData>
  <mergeCells count="5">
    <mergeCell ref="E33:G34"/>
    <mergeCell ref="E90:G91"/>
    <mergeCell ref="E73:G73"/>
    <mergeCell ref="Q90:Q91"/>
    <mergeCell ref="E142:G143"/>
  </mergeCells>
  <phoneticPr fontId="0" type="noConversion"/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12</vt:i4>
      </vt:variant>
    </vt:vector>
  </HeadingPairs>
  <TitlesOfParts>
    <vt:vector size="16" baseType="lpstr">
      <vt:lpstr>F-AbsVal-BaseVal</vt:lpstr>
      <vt:lpstr>Inclination</vt:lpstr>
      <vt:lpstr>Varation</vt:lpstr>
      <vt:lpstr>Declination</vt:lpstr>
      <vt:lpstr>Varation!_010628F</vt:lpstr>
      <vt:lpstr>Varation!_010628F_1</vt:lpstr>
      <vt:lpstr>Varation!_010628F_2</vt:lpstr>
      <vt:lpstr>Varation!_010628F_3</vt:lpstr>
      <vt:lpstr>Varation!_010628F_4</vt:lpstr>
      <vt:lpstr>Varation!_010628F_5</vt:lpstr>
      <vt:lpstr>Varation!_010628F_6</vt:lpstr>
      <vt:lpstr>Varation!_010628F_7</vt:lpstr>
      <vt:lpstr>Varation!_010628F_8</vt:lpstr>
      <vt:lpstr>Varation!_010628F_9</vt:lpstr>
      <vt:lpstr>Varation!_010628G</vt:lpstr>
      <vt:lpstr>Varation!T020102M</vt:lpstr>
    </vt:vector>
  </TitlesOfParts>
  <Company>GFZ-Potsdam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schulz</dc:creator>
  <cp:lastModifiedBy>Windows User</cp:lastModifiedBy>
  <cp:lastPrinted>2013-01-28T16:20:09Z</cp:lastPrinted>
  <dcterms:created xsi:type="dcterms:W3CDTF">2001-05-28T12:10:13Z</dcterms:created>
  <dcterms:modified xsi:type="dcterms:W3CDTF">2023-06-07T10:18:30Z</dcterms:modified>
</cp:coreProperties>
</file>